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10" windowHeight="5655" tabRatio="593" activeTab="0"/>
  </bookViews>
  <sheets>
    <sheet name="Haberes jubilados" sheetId="1" r:id="rId1"/>
    <sheet name="Cargos" sheetId="2" r:id="rId2"/>
    <sheet name="Para varios cargos" sheetId="3" state="hidden" r:id="rId3"/>
  </sheets>
  <externalReferences>
    <externalReference r:id="rId6"/>
  </externalReferences>
  <definedNames>
    <definedName name="adicdir">'Cargos'!$J$3:$J$335</definedName>
    <definedName name="adicdir2013">'Cargos'!$K$3:$K$335</definedName>
    <definedName name="adicdir2014">'Cargos'!$L$3:$L$335</definedName>
    <definedName name="adicdirvarios1">'Para varios cargos'!$J$48</definedName>
    <definedName name="adicdirvarios2">'Para varios cargos'!$J$126</definedName>
    <definedName name="adicdirvarios3">'Para varios cargos'!$J$205</definedName>
    <definedName name="adicdirvarios4">'Para varios cargos'!$J$284</definedName>
    <definedName name="adicnina">'Cargos'!$Q$3:$Q$335</definedName>
    <definedName name="cargosingreso">'Haberes jubilados'!$C$174</definedName>
    <definedName name="cargosproljor">'Haberes jubilados'!#REF!</definedName>
    <definedName name="cod06ago14">'Haberes jubilados'!$C$69</definedName>
    <definedName name="cod06ago15">'Haberes jubilados'!$I$69</definedName>
    <definedName name="cod06cargosago14">'Haberes jubilados'!$C$80:$C$91</definedName>
    <definedName name="cod06cargosago15">'Haberes jubilados'!$C$145:$C$156</definedName>
    <definedName name="cod06cargosmar15">'Haberes jubilados'!$C$129:$C$140</definedName>
    <definedName name="cod06horas">'Haberes jubilados'!#REF!</definedName>
    <definedName name="cod06mar15">'Haberes jubilados'!$F$69</definedName>
    <definedName name="compbasico">'Haberes jubilados'!#REF!</definedName>
    <definedName name="compbasico2013">'Haberes jubilados'!$H$179</definedName>
    <definedName name="compbasico2014">'Haberes jubilados'!$F$177</definedName>
    <definedName name="compbasico2015">'Haberes jubilados'!$G$179</definedName>
    <definedName name="compbasicovarios1">'Para varios cargos'!$I$48</definedName>
    <definedName name="compbasicovarios2">'Para varios cargos'!$I$126</definedName>
    <definedName name="compbasicovarios3">'Para varios cargos'!$I$205</definedName>
    <definedName name="compbasicovarios4">'Para varios cargos'!$I$284</definedName>
    <definedName name="cuartocargo">'Para varios cargos'!$E$281</definedName>
    <definedName name="frac">'Haberes jubilados'!$F$180</definedName>
    <definedName name="frac1">'Para varios cargos'!$I$51</definedName>
    <definedName name="frac2">'Para varios cargos'!$I$129</definedName>
    <definedName name="frac3">'Para varios cargos'!$I$208</definedName>
    <definedName name="frac4">'Para varios cargos'!$I$287</definedName>
    <definedName name="horasmedia">'Haberes jubilados'!$B$217</definedName>
    <definedName name="horassuperior">'Haberes jubilados'!$B$251</definedName>
    <definedName name="indiceago14">'Haberes jubilados'!$C$63</definedName>
    <definedName name="indicejul15">'Haberes jubilados'!$I$63</definedName>
    <definedName name="indicemar15">'Haberes jubilados'!$F$63</definedName>
    <definedName name="indiceproljorago14">'Haberes jubilados'!$C$66</definedName>
    <definedName name="indiceproljorjul15">'Haberes jubilados'!$I$66</definedName>
    <definedName name="indiceproljormar15">'Haberes jubilados'!$F$66</definedName>
    <definedName name="instructivo">'Haberes jubilados'!$A$19</definedName>
    <definedName name="jorcom">'Cargos'!$P$3:$P$335</definedName>
    <definedName name="nombrecargo">'Cargos'!$B$3:$B$335</definedName>
    <definedName name="numerocargo">'Cargos'!$A$3:$A$335</definedName>
    <definedName name="numhorasmed">'Haberes jubilados'!$D$219</definedName>
    <definedName name="numhorassup">'Haberes jubilados'!$D$253</definedName>
    <definedName name="porant">'Haberes jubilados'!$B$80:$B$91</definedName>
    <definedName name="porantvar1">'Para varios cargos'!$E$11:$E$22</definedName>
    <definedName name="porantvar2">'Para varios cargos'!$E$88:$E$99</definedName>
    <definedName name="porantvar3">'Para varios cargos'!$E$168:$E$179</definedName>
    <definedName name="porantvar4">'Para varios cargos'!$E$246:$E$257</definedName>
    <definedName name="porcantigcargo">'Haberes jubilados'!$D$185</definedName>
    <definedName name="porcantighorasmed">'Haberes jubilados'!$D$220</definedName>
    <definedName name="porcantigsup">'Haberes jubilados'!$D$254</definedName>
    <definedName name="porczona">'Haberes jubilados'!$C$182</definedName>
    <definedName name="porjubcar">'Haberes jubilados'!$F$182</definedName>
    <definedName name="porjubhormed">'Haberes jubilados'!$D$221</definedName>
    <definedName name="porjubhorsup">'Haberes jubilados'!$D$255</definedName>
    <definedName name="porjubvarcar">'Para varios cargos'!$F$6</definedName>
    <definedName name="primercargo">'Para varios cargos'!$E$45</definedName>
    <definedName name="proljor">'Cargos'!$O$3:$O$335</definedName>
    <definedName name="proljorcargo">'Cargos'!$M$3:$M$335</definedName>
    <definedName name="punbascar">'Haberes jubilados'!$E$137</definedName>
    <definedName name="punbascargo">'Cargos'!$C$3:$C$335</definedName>
    <definedName name="punbasjub">'Haberes jubilados'!$D$187</definedName>
    <definedName name="punbasjubvarios1">'Para varios cargos'!$F$58</definedName>
    <definedName name="punbasjubvarios2">'Para varios cargos'!$F$136</definedName>
    <definedName name="punbasjubvarios3">'Para varios cargos'!$F$215</definedName>
    <definedName name="punbasjubvarios4">'Para varios cargos'!$F$294</definedName>
    <definedName name="punproljor">'Haberes jubilados'!$G$219</definedName>
    <definedName name="puntardifvar1">'Para varios cargos'!$F$48</definedName>
    <definedName name="puntardifvar2">'Para varios cargos'!$F$126</definedName>
    <definedName name="puntardifvar3">'Para varios cargos'!$F$205</definedName>
    <definedName name="puntardifvar4">'Para varios cargos'!$F$284</definedName>
    <definedName name="punto_índice">'[1]Prop 24 feb 06'!$D$57</definedName>
    <definedName name="puntoindice">'Haberes jubilados'!#REF!</definedName>
    <definedName name="puntosadicdir">'Haberes jubilados'!#REF!</definedName>
    <definedName name="puntosadicdir2013">'Haberes jubilados'!#REF!</definedName>
    <definedName name="puntosadicdir2014">'Haberes jubilados'!$G$177</definedName>
    <definedName name="PUNTOSbasicos">'Haberes jubilados'!$B$177</definedName>
    <definedName name="puntosbasicoscargo">'Cargos'!$C$3:$C$335</definedName>
    <definedName name="puntoscompbas2013">'Cargos'!$F$3:$F$335</definedName>
    <definedName name="puntoscompbas2014">'Cargos'!$G$3:$G$335</definedName>
    <definedName name="puntoscompbas2015">'Cargos'!$H$3:$H$335</definedName>
    <definedName name="puntoscompbasico">'Cargos'!$E$3:$E$335</definedName>
    <definedName name="puntosjornadacompleta">'Haberes jubilados'!$E$177</definedName>
    <definedName name="puntosproljor">'Haberes jubilados'!$G$187</definedName>
    <definedName name="puntosproljornada">'Haberes jubilados'!$D$177</definedName>
    <definedName name="puntosproljorvarios1">'Para varios cargos'!$I$58</definedName>
    <definedName name="puntosproljorvarios2">'Para varios cargos'!$I$136</definedName>
    <definedName name="puntosproljorvarios3">'Para varios cargos'!$I$215</definedName>
    <definedName name="puntosproljorvarios4">'Para varios cargos'!$I$294</definedName>
    <definedName name="puntostareadifer">'Haberes jubilados'!$C$177</definedName>
    <definedName name="puntostotalhorassup">'Haberes jubilados'!$D$257</definedName>
    <definedName name="puntotalhorasmed">'Haberes jubilados'!$D$223</definedName>
    <definedName name="recibofinal">'Para varios cargos'!$G$321</definedName>
    <definedName name="segundocargo">'Para varios cargos'!$E$123</definedName>
    <definedName name="tardif">'Cargos'!$N$3:$N$335</definedName>
    <definedName name="tercercargo">'Para varios cargos'!$E$202</definedName>
    <definedName name="valor_prol_jor">'[1]Prop 24 feb 06'!$D$63</definedName>
    <definedName name="viejocompbasico">'Cargos'!$D$3:$D$335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77" authorId="0">
      <text>
        <r>
          <rPr>
            <sz val="8"/>
            <rFont val="Tahoma"/>
            <family val="2"/>
          </rPr>
          <t>Si no saben el número del cargo, lo pueden buscar en la hoja cargos, cuya pestaña aparece en parte inferior izquierda de la pantalla.</t>
        </r>
      </text>
    </comment>
    <comment ref="C18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E180" authorId="0">
      <text>
        <r>
          <rPr>
            <sz val="8"/>
            <rFont val="Tahoma"/>
            <family val="2"/>
          </rPr>
          <t>Si trabajaron en el mismo cargo en los últimos 10 años, dejar el 120. De lo contraro fraccionar con la cantidad de meses.</t>
        </r>
      </text>
    </comment>
    <comment ref="D18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he encontrado otros valores en algunos recibos.</t>
        </r>
      </text>
    </comment>
  </commentList>
</comments>
</file>

<file path=xl/comments3.xml><?xml version="1.0" encoding="utf-8"?>
<comments xmlns="http://schemas.openxmlformats.org/spreadsheetml/2006/main">
  <authors>
    <author>V?ctor</author>
  </authors>
  <commentList>
    <comment ref="D4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5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5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5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12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12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13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13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0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0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1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1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8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8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8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9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<sst xmlns="http://schemas.openxmlformats.org/spreadsheetml/2006/main" count="1035" uniqueCount="486">
  <si>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</si>
  <si>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</si>
  <si>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</si>
  <si>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</si>
  <si>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</si>
  <si>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</si>
  <si>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</si>
  <si>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</si>
  <si>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</si>
  <si>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</si>
  <si>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</si>
  <si>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</si>
  <si>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</si>
  <si>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</si>
  <si>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</si>
  <si>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</si>
  <si>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</si>
  <si>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</si>
  <si>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</si>
  <si>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</si>
  <si>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</si>
  <si>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</si>
  <si>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</si>
  <si>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</si>
  <si>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</si>
  <si>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</si>
  <si>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</si>
  <si>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</si>
  <si>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</si>
  <si>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</si>
  <si>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</si>
  <si>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</si>
  <si>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</si>
  <si>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</si>
  <si>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</si>
  <si>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</si>
  <si>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</si>
  <si>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</si>
  <si>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</si>
  <si>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</si>
  <si>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</si>
  <si>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</si>
  <si>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</si>
  <si>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</si>
  <si>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</si>
  <si>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</si>
  <si>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</si>
  <si>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</si>
  <si>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</si>
  <si>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</si>
  <si>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</si>
  <si>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</si>
  <si>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</si>
  <si>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</si>
  <si>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</si>
  <si>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</si>
  <si>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</si>
  <si>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</si>
  <si>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</si>
  <si>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</si>
  <si>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</si>
  <si>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</si>
  <si>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</si>
  <si>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</si>
  <si>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</si>
  <si>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</si>
  <si>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</si>
  <si>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</si>
  <si>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</si>
  <si>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</si>
  <si>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</si>
  <si>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</si>
  <si>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</si>
  <si>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</si>
  <si>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</si>
  <si>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</si>
  <si>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</si>
  <si>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</si>
  <si>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</si>
  <si>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</si>
  <si>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</si>
  <si>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</si>
  <si>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</si>
  <si>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</si>
  <si>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</si>
  <si>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</si>
  <si>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</si>
  <si>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</si>
  <si>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</si>
  <si>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</si>
  <si>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</si>
  <si>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</si>
  <si>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</si>
  <si>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</si>
  <si>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</si>
  <si>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</si>
  <si>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</si>
  <si>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</si>
  <si>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</si>
  <si>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</si>
  <si>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</si>
  <si>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</si>
  <si>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</si>
  <si>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</si>
  <si>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</si>
  <si>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</si>
  <si>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</si>
  <si>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</si>
  <si>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</si>
  <si>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</si>
  <si>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</si>
  <si>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</si>
  <si>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</si>
  <si>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</si>
  <si>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</si>
  <si>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</si>
  <si>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</si>
  <si>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</si>
  <si>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</si>
  <si>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</si>
  <si>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</si>
  <si>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</si>
  <si>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</si>
  <si>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</si>
  <si>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</si>
  <si>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</si>
  <si>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</si>
  <si>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</si>
  <si>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</si>
  <si>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</si>
  <si>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</si>
  <si>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</si>
  <si>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</si>
  <si>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</si>
  <si>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</si>
  <si>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</si>
  <si>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</si>
  <si>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</si>
  <si>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</si>
  <si>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</si>
  <si>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</si>
  <si>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</si>
  <si>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</si>
  <si>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</si>
  <si>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</si>
  <si>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</si>
  <si>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</si>
  <si>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</si>
  <si>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</si>
  <si>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</si>
  <si>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</si>
  <si>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</si>
  <si>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</si>
  <si>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</si>
  <si>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</si>
  <si>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</si>
  <si>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</si>
  <si>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</si>
  <si>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</si>
  <si>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</si>
  <si>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</si>
  <si>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</si>
  <si>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</si>
  <si>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</si>
  <si>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</si>
  <si>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</si>
  <si>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</si>
  <si>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</si>
  <si>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</si>
  <si>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</si>
  <si>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</si>
  <si>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</si>
  <si>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</si>
  <si>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</si>
  <si>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</si>
  <si>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</si>
  <si>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</si>
  <si>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</si>
  <si>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</si>
  <si>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</si>
  <si>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</si>
  <si>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</si>
  <si>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</si>
  <si>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</si>
  <si>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</si>
  <si>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</si>
  <si>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</si>
  <si>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</si>
  <si>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</si>
  <si>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</si>
  <si>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</si>
  <si>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</si>
  <si>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</si>
  <si>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</si>
  <si>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</si>
  <si>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</si>
  <si>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</si>
  <si>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</si>
  <si>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</si>
  <si>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</si>
  <si>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</si>
  <si>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</si>
  <si>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</si>
  <si>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</si>
  <si>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</si>
  <si>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</si>
  <si>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</si>
  <si>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</si>
  <si>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</si>
  <si>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</si>
  <si>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</si>
  <si>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</si>
  <si>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</si>
  <si>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</si>
  <si>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</si>
  <si>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</si>
  <si>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</si>
  <si>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</si>
  <si>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</si>
  <si>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</si>
  <si>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</si>
  <si>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</si>
  <si>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</si>
  <si>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</si>
  <si>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</si>
  <si>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</si>
  <si>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</si>
  <si>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</si>
  <si>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</si>
  <si>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</si>
  <si>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</si>
  <si>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</si>
  <si>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</si>
  <si>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</si>
  <si>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</si>
  <si>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</si>
  <si>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</si>
  <si>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</si>
  <si>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</si>
  <si>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</si>
  <si>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</si>
  <si>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</si>
  <si>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</si>
  <si>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</si>
  <si>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</si>
  <si>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</si>
  <si>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</si>
  <si>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</si>
  <si>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</si>
  <si>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</si>
  <si>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</si>
  <si>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</si>
  <si>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</si>
  <si>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</si>
  <si>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</si>
  <si>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</si>
  <si>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</si>
  <si>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</si>
  <si>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</si>
  <si>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</si>
  <si>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</si>
  <si>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</si>
  <si>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</si>
  <si>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</si>
  <si>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</si>
  <si>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</si>
  <si>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</si>
  <si>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</si>
  <si>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</si>
  <si>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</si>
  <si>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</si>
  <si>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</si>
  <si>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</si>
  <si>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</si>
  <si>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</si>
  <si>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</si>
  <si>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</si>
  <si>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</si>
  <si>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</si>
  <si>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</si>
  <si>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</si>
  <si>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</si>
  <si>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</si>
  <si>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</si>
  <si>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</si>
  <si>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</si>
  <si>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</si>
  <si>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</si>
  <si>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</si>
  <si>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</si>
  <si>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</si>
  <si>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</si>
  <si>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</si>
  <si>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</si>
  <si>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</si>
  <si>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</si>
  <si>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</si>
  <si>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</si>
  <si>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</si>
  <si>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</si>
  <si>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</si>
  <si>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</si>
  <si>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</si>
  <si>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</si>
  <si>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</si>
  <si>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</si>
  <si>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</si>
  <si>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</si>
  <si>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</si>
  <si>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</si>
  <si>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</si>
  <si>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</si>
  <si>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</si>
  <si>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</si>
  <si>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</si>
  <si>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</si>
  <si>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</si>
  <si>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</si>
  <si>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</si>
  <si>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</si>
  <si>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</si>
  <si>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</si>
  <si>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</si>
  <si>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</si>
  <si>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</si>
  <si>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</si>
  <si>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</si>
  <si>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</si>
  <si>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</si>
  <si>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</si>
  <si>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</si>
  <si>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</si>
  <si>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</si>
  <si>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</si>
  <si>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</si>
  <si>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</si>
  <si>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</si>
  <si>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</si>
  <si>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</si>
  <si>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</si>
  <si>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</si>
  <si>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</si>
  <si>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</si>
  <si>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</si>
  <si>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victorhutt@victorhutt.com.ar</t>
  </si>
  <si>
    <t>Control 120 meses: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</si>
  <si>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</si>
  <si>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</si>
  <si>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</si>
  <si>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</si>
  <si>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</si>
  <si>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</si>
  <si>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</si>
  <si>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</si>
  <si>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</si>
  <si>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</si>
  <si>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</si>
  <si>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</si>
  <si>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</si>
  <si>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</si>
  <si>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</si>
  <si>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</si>
  <si>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</si>
  <si>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</si>
  <si>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</si>
  <si>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</si>
  <si>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</si>
  <si>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Jubilados Docentes de Entre Ríós</t>
  </si>
  <si>
    <t>Recibo Final</t>
  </si>
  <si>
    <t>Autor</t>
  </si>
  <si>
    <t>Dec 1266/08 Art 4º</t>
  </si>
  <si>
    <t>Porcentaje de jubilación</t>
  </si>
  <si>
    <t>Aumento</t>
  </si>
  <si>
    <t>Aumento porcentual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</si>
  <si>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</si>
  <si>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</si>
  <si>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</si>
  <si>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Debe sumar 120 meses</t>
  </si>
  <si>
    <t>Los meses se refieren a aumentos a activos, Los jubilados lo recibirán 30 o 60 días después</t>
  </si>
  <si>
    <t>Aumento de Bolsillo</t>
  </si>
  <si>
    <t>VICEDIRECTOR 1ERA. CAT. C.E.F.</t>
  </si>
  <si>
    <t>REGENTE 1ERA. CAT. C.E.F.</t>
  </si>
  <si>
    <t>Adic directivos</t>
  </si>
  <si>
    <t>otro código</t>
  </si>
  <si>
    <t>Salario hasta febrero 2011</t>
  </si>
  <si>
    <t>Salario Desde marzo de 2.011</t>
  </si>
  <si>
    <t>cod06feb11varios1</t>
  </si>
  <si>
    <t>cod06mar11varios1</t>
  </si>
  <si>
    <t>cod06feb11varios2</t>
  </si>
  <si>
    <t>cod06mar11varios2</t>
  </si>
  <si>
    <t>cod06feb11varios3</t>
  </si>
  <si>
    <t>cod06mar11varios3</t>
  </si>
  <si>
    <t>cod06feb11varios4</t>
  </si>
  <si>
    <t>cod06mar11varios4</t>
  </si>
  <si>
    <t>Adicional Directivos</t>
  </si>
  <si>
    <t>De acuerdo al aumento de Marzo de 2011</t>
  </si>
  <si>
    <t>Otro código</t>
  </si>
  <si>
    <t>Adic Directivos media</t>
  </si>
  <si>
    <t>Aum de Bolsillo total</t>
  </si>
  <si>
    <t>Aum porcentual total</t>
  </si>
  <si>
    <t>Desc AGMER 1 %</t>
  </si>
  <si>
    <t>Puntos Comp basico 2013</t>
  </si>
  <si>
    <r>
      <t>Si encuentran errores, por favor avisenme.</t>
    </r>
    <r>
      <rPr>
        <sz val="11"/>
        <color indexed="17"/>
        <rFont val="Arial"/>
        <family val="2"/>
      </rPr>
      <t>victorhutt@victorhutt.com.ar</t>
    </r>
  </si>
  <si>
    <t>Secretario Esc. Nivel Inicial 1ra CAT</t>
  </si>
  <si>
    <t>Vicedirector DPTO. Aplicación 2da CAT</t>
  </si>
  <si>
    <t>Director Jardín de Infantes</t>
  </si>
  <si>
    <t>Vicedirector Nivel Inicial 1ra Categoría</t>
  </si>
  <si>
    <t xml:space="preserve"> </t>
  </si>
  <si>
    <t>Adic</t>
  </si>
  <si>
    <t>viejo Comp basico</t>
  </si>
  <si>
    <t>repito cargo</t>
  </si>
  <si>
    <t>Adicional directivos</t>
  </si>
  <si>
    <t>Nina</t>
  </si>
  <si>
    <t>Director Dpto. Aplicación 1ra Cat.</t>
  </si>
  <si>
    <t>Vicedirector Dpto Aplicación 1ra CAT</t>
  </si>
  <si>
    <t>Secretario 3ra. CAT Educ. Jóvenes y Adultos</t>
  </si>
  <si>
    <t>Hoja de cálculo  para simular oferta salarial</t>
  </si>
  <si>
    <t>indiceago14</t>
  </si>
  <si>
    <t>indiceproljorago14</t>
  </si>
  <si>
    <t>cod06ago14</t>
  </si>
  <si>
    <t>adic dir 2014</t>
  </si>
  <si>
    <t>Haberes jubilados Agosto 2014</t>
  </si>
  <si>
    <t>Comp Direct 2014</t>
  </si>
  <si>
    <t>MAESTRO JARDÍN MATERNAL JORNADA EXTENDIDA</t>
  </si>
  <si>
    <t>puntos comp bas 2014</t>
  </si>
  <si>
    <t>comp básico 2014</t>
  </si>
  <si>
    <t>cod xx</t>
  </si>
  <si>
    <t>Haberes jubilados Marzo 2015</t>
  </si>
  <si>
    <t>indicemar15</t>
  </si>
  <si>
    <t>indiceproljormar15</t>
  </si>
  <si>
    <t>cod06mar15</t>
  </si>
  <si>
    <t>cod06ago15</t>
  </si>
  <si>
    <t>nuevo cód rem (Cod 18 en activos)</t>
  </si>
  <si>
    <t>Cod xx</t>
  </si>
  <si>
    <t>Remuneración de cód 113</t>
  </si>
  <si>
    <t>Volver al simulador</t>
  </si>
  <si>
    <t>Adic dir 2013</t>
  </si>
  <si>
    <t>TOT 1 Y 2</t>
  </si>
  <si>
    <t>RECTOR INSTITUTO SUPERIOR</t>
  </si>
  <si>
    <t>SECRETARIO INSTITUTO SUPERIOR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</si>
  <si>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</si>
  <si>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</si>
  <si>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</si>
  <si>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</si>
  <si>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</si>
  <si>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</si>
  <si>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</si>
  <si>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</si>
  <si>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</si>
  <si>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</si>
  <si>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 xml:space="preserve"> JEFE DE UNS Y PRODUCCIÓN 1ERA CAT.</t>
  </si>
  <si>
    <t xml:space="preserve"> JEFE DE UNS Y PRODUCCIÓN 2DA CAT.</t>
  </si>
  <si>
    <t xml:space="preserve"> JEFE DE UNS Y PRODUCCIÓN 3ERA CAT. </t>
  </si>
  <si>
    <t>SUPERVISOR EDUCACIÓN ARTÍSTICA</t>
  </si>
  <si>
    <t>SUPERVISOR ESCOLAR DE ZONA</t>
  </si>
  <si>
    <t xml:space="preserve"> SUPERVISOR ESCOLAR EDUC. TECNOLÓGICA</t>
  </si>
  <si>
    <t xml:space="preserve"> DIRECTOR DEL S.A.I.E.</t>
  </si>
  <si>
    <t xml:space="preserve"> DIRECTOR ESCUELA ESPECIAL JORNADA COMPLETA</t>
  </si>
  <si>
    <t xml:space="preserve"> VICEDIRECTOR ESCUELA ESPECIAL JORNADA COMPLETA</t>
  </si>
  <si>
    <t>DIRECTOR NIVEL INICIAL 1ERA CON PROLONGACIÓN</t>
  </si>
  <si>
    <t>DIRECTOR NIVEL INICIAL 2DA CON PROLONGACIÓN</t>
  </si>
  <si>
    <t>VICEDIRECTOR NIVEL INICIAL 1ERA CON PROLONGACIÓN</t>
  </si>
  <si>
    <t>Director Dpto. Aplicación 2DA Cat.</t>
  </si>
  <si>
    <t>JEFE DE DEPARTAMENTO TÉCNICO Y SUPERVISIÓN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</si>
  <si>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</si>
  <si>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</si>
  <si>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</si>
  <si>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</si>
  <si>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</si>
  <si>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SECRETARIO ACADÉMICO</t>
  </si>
  <si>
    <t>SECRETARIA DE ESC DE 2DA CATEGORÍA JORN COMP</t>
  </si>
  <si>
    <t xml:space="preserve"> VICEDIRECTOR ESC. CAP TECNICA 1ERA CATEGORIA</t>
  </si>
  <si>
    <t xml:space="preserve"> DIRECTOR ESC NIVIEL INICIAL 1RA CATEGORÍA</t>
  </si>
  <si>
    <t>VICEDIRECTOR ESC N INICIAL 2DA CATEG</t>
  </si>
  <si>
    <t>SECRETARIO ESC NIV INICIAL 1RA CATEG</t>
  </si>
  <si>
    <t>SECRETARIO ESC NIV INICIAL 2DA CATEG</t>
  </si>
  <si>
    <t>SECRETARIO ESC NIV INICIAL 3RA CATEG</t>
  </si>
  <si>
    <t xml:space="preserve"> VICERECTOR ESC DE 3RA CATEGORÍA</t>
  </si>
  <si>
    <t>SECRETARIO ESC DE 3RA CATEGORÍA</t>
  </si>
  <si>
    <t>puntos comp bas 2015</t>
  </si>
  <si>
    <t>Haberes jubilados Julio 2015</t>
  </si>
  <si>
    <t>indicejul15</t>
  </si>
  <si>
    <t>indiceproljorjul15</t>
  </si>
  <si>
    <t>Haberes marzo y julio 2015</t>
  </si>
  <si>
    <t>Aun no hemos visto el decreto de aumento, pueden aparecer errores</t>
  </si>
  <si>
    <t>aum mar, jul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</si>
</sst>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  <numFmt numFmtId="186" formatCode="&quot;$&quot;\ #,##0.00"/>
    <numFmt numFmtId="187" formatCode="[$€-2]\ #,##0.00_);[Red]\([$€-2]\ #,##0.00\)"/>
    <numFmt numFmtId="188" formatCode="0.00000000"/>
  </numFmts>
  <fonts count="133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0"/>
      <color indexed="52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15"/>
      <name val="Arial"/>
      <family val="2"/>
    </font>
    <font>
      <b/>
      <sz val="12"/>
      <color indexed="15"/>
      <name val="Arial"/>
      <family val="2"/>
    </font>
    <font>
      <b/>
      <sz val="12"/>
      <color indexed="16"/>
      <name val="Arial"/>
      <family val="2"/>
    </font>
    <font>
      <b/>
      <sz val="10"/>
      <color indexed="53"/>
      <name val="Arial"/>
      <family val="2"/>
    </font>
    <font>
      <b/>
      <sz val="16"/>
      <color indexed="13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14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9"/>
      <name val="Arial"/>
      <family val="2"/>
    </font>
    <font>
      <sz val="9"/>
      <color indexed="62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4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9"/>
      <color theme="3" tint="0.39998000860214233"/>
      <name val="Arial"/>
      <family val="2"/>
    </font>
    <font>
      <b/>
      <sz val="14"/>
      <color rgb="FF002060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51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0" fontId="106" fillId="22" borderId="2" applyNumberFormat="0" applyAlignment="0" applyProtection="0"/>
    <xf numFmtId="0" fontId="107" fillId="0" borderId="3" applyNumberFormat="0" applyFill="0" applyAlignment="0" applyProtection="0"/>
    <xf numFmtId="0" fontId="108" fillId="0" borderId="0" applyNumberFormat="0" applyFill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9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2" fillId="21" borderId="5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08" fillId="0" borderId="8" applyNumberFormat="0" applyFill="0" applyAlignment="0" applyProtection="0"/>
    <xf numFmtId="0" fontId="118" fillId="0" borderId="9" applyNumberFormat="0" applyFill="0" applyAlignment="0" applyProtection="0"/>
  </cellStyleXfs>
  <cellXfs count="556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0" fillId="0" borderId="11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2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22" fillId="0" borderId="16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13" xfId="50" applyNumberFormat="1" applyFont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28" fillId="35" borderId="18" xfId="45" applyFont="1" applyFill="1" applyBorder="1" applyAlignment="1" applyProtection="1">
      <alignment/>
      <protection/>
    </xf>
    <xf numFmtId="0" fontId="36" fillId="33" borderId="12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28" fillId="35" borderId="20" xfId="45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37" fillId="35" borderId="22" xfId="45" applyFont="1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7" fillId="0" borderId="0" xfId="45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9" fillId="37" borderId="0" xfId="0" applyFont="1" applyFill="1" applyBorder="1" applyAlignment="1" applyProtection="1">
      <alignment/>
      <protection/>
    </xf>
    <xf numFmtId="0" fontId="10" fillId="37" borderId="26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45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29" xfId="0" applyFont="1" applyBorder="1" applyAlignment="1" applyProtection="1">
      <alignment/>
      <protection/>
    </xf>
    <xf numFmtId="1" fontId="21" fillId="0" borderId="29" xfId="0" applyNumberFormat="1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left"/>
      <protection/>
    </xf>
    <xf numFmtId="0" fontId="3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2" fontId="3" fillId="0" borderId="25" xfId="0" applyNumberFormat="1" applyFont="1" applyBorder="1" applyAlignment="1" applyProtection="1">
      <alignment horizontal="center"/>
      <protection/>
    </xf>
    <xf numFmtId="9" fontId="0" fillId="0" borderId="15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 horizontal="left"/>
      <protection/>
    </xf>
    <xf numFmtId="0" fontId="0" fillId="0" borderId="30" xfId="0" applyBorder="1" applyAlignment="1" applyProtection="1">
      <alignment horizontal="right"/>
      <protection/>
    </xf>
    <xf numFmtId="172" fontId="2" fillId="0" borderId="24" xfId="0" applyNumberFormat="1" applyFont="1" applyBorder="1" applyAlignment="1" applyProtection="1">
      <alignment/>
      <protection/>
    </xf>
    <xf numFmtId="2" fontId="34" fillId="0" borderId="25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9" fontId="20" fillId="0" borderId="31" xfId="0" applyNumberFormat="1" applyFont="1" applyBorder="1" applyAlignment="1" applyProtection="1">
      <alignment horizontal="center"/>
      <protection locked="0"/>
    </xf>
    <xf numFmtId="0" fontId="2" fillId="38" borderId="32" xfId="0" applyFont="1" applyFill="1" applyBorder="1" applyAlignment="1" applyProtection="1">
      <alignment/>
      <protection/>
    </xf>
    <xf numFmtId="0" fontId="2" fillId="39" borderId="33" xfId="0" applyFont="1" applyFill="1" applyBorder="1" applyAlignment="1" applyProtection="1">
      <alignment/>
      <protection/>
    </xf>
    <xf numFmtId="0" fontId="0" fillId="39" borderId="34" xfId="0" applyFill="1" applyBorder="1" applyAlignment="1" applyProtection="1">
      <alignment/>
      <protection/>
    </xf>
    <xf numFmtId="9" fontId="24" fillId="40" borderId="35" xfId="54" applyFont="1" applyFill="1" applyBorder="1" applyAlignment="1" applyProtection="1">
      <alignment/>
      <protection/>
    </xf>
    <xf numFmtId="9" fontId="24" fillId="40" borderId="16" xfId="54" applyFont="1" applyFill="1" applyBorder="1" applyAlignment="1" applyProtection="1">
      <alignment/>
      <protection/>
    </xf>
    <xf numFmtId="9" fontId="24" fillId="35" borderId="16" xfId="54" applyFont="1" applyFill="1" applyBorder="1" applyAlignment="1" applyProtection="1">
      <alignment/>
      <protection/>
    </xf>
    <xf numFmtId="9" fontId="24" fillId="35" borderId="36" xfId="54" applyFont="1" applyFill="1" applyBorder="1" applyAlignment="1" applyProtection="1">
      <alignment/>
      <protection/>
    </xf>
    <xf numFmtId="0" fontId="20" fillId="39" borderId="37" xfId="0" applyFont="1" applyFill="1" applyBorder="1" applyAlignment="1" applyProtection="1">
      <alignment/>
      <protection locked="0"/>
    </xf>
    <xf numFmtId="0" fontId="2" fillId="41" borderId="38" xfId="0" applyFont="1" applyFill="1" applyBorder="1" applyAlignment="1" applyProtection="1">
      <alignment horizontal="right"/>
      <protection/>
    </xf>
    <xf numFmtId="0" fontId="2" fillId="41" borderId="39" xfId="0" applyFont="1" applyFill="1" applyBorder="1" applyAlignment="1" applyProtection="1">
      <alignment/>
      <protection/>
    </xf>
    <xf numFmtId="9" fontId="20" fillId="0" borderId="31" xfId="54" applyFont="1" applyBorder="1" applyAlignment="1" applyProtection="1">
      <alignment horizontal="center"/>
      <protection locked="0"/>
    </xf>
    <xf numFmtId="9" fontId="22" fillId="36" borderId="40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9" fillId="42" borderId="0" xfId="0" applyFont="1" applyFill="1" applyBorder="1" applyAlignment="1" applyProtection="1">
      <alignment/>
      <protection/>
    </xf>
    <xf numFmtId="0" fontId="2" fillId="42" borderId="0" xfId="0" applyFon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9" fontId="24" fillId="34" borderId="0" xfId="54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9" fillId="39" borderId="33" xfId="0" applyFont="1" applyFill="1" applyBorder="1" applyAlignment="1" applyProtection="1">
      <alignment/>
      <protection/>
    </xf>
    <xf numFmtId="0" fontId="50" fillId="39" borderId="37" xfId="0" applyFont="1" applyFill="1" applyBorder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/>
    </xf>
    <xf numFmtId="9" fontId="0" fillId="34" borderId="0" xfId="54" applyFont="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2" fontId="0" fillId="34" borderId="0" xfId="0" applyNumberFormat="1" applyFill="1" applyBorder="1" applyAlignment="1" applyProtection="1">
      <alignment/>
      <protection/>
    </xf>
    <xf numFmtId="2" fontId="18" fillId="34" borderId="0" xfId="0" applyNumberFormat="1" applyFont="1" applyFill="1" applyBorder="1" applyAlignment="1" applyProtection="1">
      <alignment horizontal="right"/>
      <protection/>
    </xf>
    <xf numFmtId="172" fontId="25" fillId="34" borderId="0" xfId="0" applyNumberFormat="1" applyFont="1" applyFill="1" applyBorder="1" applyAlignment="1" applyProtection="1">
      <alignment/>
      <protection/>
    </xf>
    <xf numFmtId="10" fontId="25" fillId="34" borderId="0" xfId="54" applyNumberFormat="1" applyFont="1" applyFill="1" applyBorder="1" applyAlignment="1" applyProtection="1">
      <alignment horizontal="right"/>
      <protection/>
    </xf>
    <xf numFmtId="9" fontId="24" fillId="35" borderId="0" xfId="54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9" fontId="20" fillId="0" borderId="31" xfId="0" applyNumberFormat="1" applyFont="1" applyFill="1" applyBorder="1" applyAlignment="1" applyProtection="1">
      <alignment horizontal="center"/>
      <protection locked="0"/>
    </xf>
    <xf numFmtId="1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9" fontId="0" fillId="35" borderId="0" xfId="54" applyFont="1" applyFill="1" applyAlignment="1" applyProtection="1">
      <alignment/>
      <protection/>
    </xf>
    <xf numFmtId="9" fontId="24" fillId="37" borderId="0" xfId="54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1" fontId="0" fillId="37" borderId="0" xfId="0" applyNumberFormat="1" applyFill="1" applyAlignment="1" applyProtection="1">
      <alignment/>
      <protection/>
    </xf>
    <xf numFmtId="0" fontId="20" fillId="37" borderId="0" xfId="0" applyFont="1" applyFill="1" applyBorder="1" applyAlignment="1" applyProtection="1">
      <alignment horizontal="center"/>
      <protection/>
    </xf>
    <xf numFmtId="9" fontId="0" fillId="37" borderId="0" xfId="54" applyFont="1" applyFill="1" applyAlignment="1" applyProtection="1">
      <alignment/>
      <protection/>
    </xf>
    <xf numFmtId="9" fontId="24" fillId="44" borderId="0" xfId="54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20" fillId="44" borderId="0" xfId="0" applyFont="1" applyFill="1" applyBorder="1" applyAlignment="1" applyProtection="1">
      <alignment horizontal="center"/>
      <protection/>
    </xf>
    <xf numFmtId="9" fontId="0" fillId="44" borderId="0" xfId="54" applyFont="1" applyFill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51" fillId="36" borderId="17" xfId="0" applyFont="1" applyFill="1" applyBorder="1" applyAlignment="1">
      <alignment/>
    </xf>
    <xf numFmtId="0" fontId="52" fillId="36" borderId="17" xfId="0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0" fontId="26" fillId="0" borderId="41" xfId="0" applyFont="1" applyBorder="1" applyAlignment="1">
      <alignment/>
    </xf>
    <xf numFmtId="0" fontId="56" fillId="34" borderId="41" xfId="45" applyFont="1" applyFill="1" applyBorder="1" applyAlignment="1" applyProtection="1">
      <alignment/>
      <protection/>
    </xf>
    <xf numFmtId="0" fontId="56" fillId="35" borderId="41" xfId="45" applyFont="1" applyFill="1" applyBorder="1" applyAlignment="1" applyProtection="1">
      <alignment/>
      <protection/>
    </xf>
    <xf numFmtId="0" fontId="57" fillId="37" borderId="41" xfId="45" applyFont="1" applyFill="1" applyBorder="1" applyAlignment="1" applyProtection="1">
      <alignment/>
      <protection/>
    </xf>
    <xf numFmtId="0" fontId="56" fillId="44" borderId="41" xfId="45" applyFont="1" applyFill="1" applyBorder="1" applyAlignment="1" applyProtection="1">
      <alignment/>
      <protection/>
    </xf>
    <xf numFmtId="0" fontId="37" fillId="0" borderId="41" xfId="45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30" xfId="0" applyNumberFormat="1" applyBorder="1" applyAlignment="1" applyProtection="1">
      <alignment/>
      <protection hidden="1"/>
    </xf>
    <xf numFmtId="9" fontId="24" fillId="40" borderId="42" xfId="54" applyFont="1" applyFill="1" applyBorder="1" applyAlignment="1" applyProtection="1">
      <alignment/>
      <protection/>
    </xf>
    <xf numFmtId="9" fontId="24" fillId="40" borderId="43" xfId="54" applyFont="1" applyFill="1" applyBorder="1" applyAlignment="1" applyProtection="1">
      <alignment/>
      <protection/>
    </xf>
    <xf numFmtId="9" fontId="24" fillId="35" borderId="43" xfId="54" applyFont="1" applyFill="1" applyBorder="1" applyAlignment="1" applyProtection="1">
      <alignment/>
      <protection/>
    </xf>
    <xf numFmtId="9" fontId="24" fillId="35" borderId="44" xfId="54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0" fillId="0" borderId="46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left"/>
      <protection/>
    </xf>
    <xf numFmtId="2" fontId="0" fillId="0" borderId="48" xfId="0" applyNumberFormat="1" applyBorder="1" applyAlignment="1" applyProtection="1">
      <alignment horizontal="left"/>
      <protection/>
    </xf>
    <xf numFmtId="2" fontId="22" fillId="0" borderId="49" xfId="0" applyNumberFormat="1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/>
      <protection/>
    </xf>
    <xf numFmtId="2" fontId="0" fillId="0" borderId="50" xfId="0" applyNumberFormat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/>
    </xf>
    <xf numFmtId="175" fontId="22" fillId="0" borderId="49" xfId="50" applyNumberFormat="1" applyFont="1" applyBorder="1" applyAlignment="1" applyProtection="1">
      <alignment horizontal="right"/>
      <protection locked="0"/>
    </xf>
    <xf numFmtId="0" fontId="0" fillId="0" borderId="43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2" fontId="2" fillId="0" borderId="51" xfId="0" applyNumberFormat="1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right"/>
      <protection/>
    </xf>
    <xf numFmtId="0" fontId="0" fillId="0" borderId="0" xfId="0" applyFill="1" applyAlignment="1">
      <alignment/>
    </xf>
    <xf numFmtId="9" fontId="24" fillId="0" borderId="0" xfId="54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172" fontId="58" fillId="0" borderId="0" xfId="0" applyNumberFormat="1" applyFont="1" applyFill="1" applyBorder="1" applyAlignment="1" applyProtection="1">
      <alignment/>
      <protection/>
    </xf>
    <xf numFmtId="10" fontId="58" fillId="0" borderId="0" xfId="54" applyNumberFormat="1" applyFont="1" applyFill="1" applyAlignment="1">
      <alignment/>
    </xf>
    <xf numFmtId="0" fontId="29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9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2" fontId="0" fillId="35" borderId="0" xfId="0" applyNumberFormat="1" applyFill="1" applyBorder="1" applyAlignment="1" applyProtection="1">
      <alignment/>
      <protection/>
    </xf>
    <xf numFmtId="2" fontId="18" fillId="35" borderId="0" xfId="0" applyNumberFormat="1" applyFont="1" applyFill="1" applyBorder="1" applyAlignment="1" applyProtection="1">
      <alignment horizontal="right"/>
      <protection/>
    </xf>
    <xf numFmtId="172" fontId="25" fillId="35" borderId="0" xfId="0" applyNumberFormat="1" applyFont="1" applyFill="1" applyBorder="1" applyAlignment="1" applyProtection="1">
      <alignment/>
      <protection/>
    </xf>
    <xf numFmtId="10" fontId="25" fillId="35" borderId="0" xfId="54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40" fillId="34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29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right"/>
      <protection/>
    </xf>
    <xf numFmtId="172" fontId="2" fillId="37" borderId="0" xfId="0" applyNumberFormat="1" applyFont="1" applyFill="1" applyBorder="1" applyAlignment="1" applyProtection="1">
      <alignment/>
      <protection/>
    </xf>
    <xf numFmtId="2" fontId="34" fillId="37" borderId="0" xfId="0" applyNumberFormat="1" applyFont="1" applyFill="1" applyBorder="1" applyAlignment="1" applyProtection="1">
      <alignment horizontal="center"/>
      <protection/>
    </xf>
    <xf numFmtId="10" fontId="34" fillId="37" borderId="0" xfId="54" applyNumberFormat="1" applyFont="1" applyFill="1" applyBorder="1" applyAlignment="1" applyProtection="1">
      <alignment horizontal="center"/>
      <protection/>
    </xf>
    <xf numFmtId="0" fontId="4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 applyProtection="1">
      <alignment horizontal="right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29" fillId="44" borderId="0" xfId="0" applyFont="1" applyFill="1" applyBorder="1" applyAlignment="1" applyProtection="1">
      <alignment/>
      <protection/>
    </xf>
    <xf numFmtId="0" fontId="2" fillId="44" borderId="0" xfId="0" applyFont="1" applyFill="1" applyBorder="1" applyAlignment="1" applyProtection="1">
      <alignment/>
      <protection/>
    </xf>
    <xf numFmtId="2" fontId="0" fillId="44" borderId="0" xfId="0" applyNumberFormat="1" applyFill="1" applyBorder="1" applyAlignment="1" applyProtection="1">
      <alignment/>
      <protection/>
    </xf>
    <xf numFmtId="0" fontId="0" fillId="44" borderId="0" xfId="0" applyFill="1" applyBorder="1" applyAlignment="1" applyProtection="1">
      <alignment horizontal="right"/>
      <protection/>
    </xf>
    <xf numFmtId="172" fontId="2" fillId="44" borderId="0" xfId="0" applyNumberFormat="1" applyFont="1" applyFill="1" applyBorder="1" applyAlignment="1" applyProtection="1">
      <alignment/>
      <protection/>
    </xf>
    <xf numFmtId="2" fontId="34" fillId="44" borderId="0" xfId="0" applyNumberFormat="1" applyFont="1" applyFill="1" applyBorder="1" applyAlignment="1" applyProtection="1">
      <alignment horizontal="center"/>
      <protection/>
    </xf>
    <xf numFmtId="0" fontId="40" fillId="44" borderId="0" xfId="0" applyFont="1" applyFill="1" applyBorder="1" applyAlignment="1" applyProtection="1">
      <alignment/>
      <protection/>
    </xf>
    <xf numFmtId="0" fontId="2" fillId="44" borderId="0" xfId="0" applyFont="1" applyFill="1" applyBorder="1" applyAlignment="1" applyProtection="1">
      <alignment horizontal="right"/>
      <protection/>
    </xf>
    <xf numFmtId="0" fontId="5" fillId="43" borderId="0" xfId="0" applyFont="1" applyFill="1" applyAlignment="1">
      <alignment/>
    </xf>
    <xf numFmtId="0" fontId="59" fillId="43" borderId="0" xfId="0" applyFont="1" applyFill="1" applyAlignment="1">
      <alignment/>
    </xf>
    <xf numFmtId="43" fontId="0" fillId="0" borderId="0" xfId="48" applyFont="1" applyFill="1" applyAlignment="1" applyProtection="1">
      <alignment/>
      <protection/>
    </xf>
    <xf numFmtId="2" fontId="22" fillId="0" borderId="11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46" fillId="35" borderId="52" xfId="0" applyFont="1" applyFill="1" applyBorder="1" applyAlignment="1" applyProtection="1">
      <alignment/>
      <protection/>
    </xf>
    <xf numFmtId="0" fontId="46" fillId="35" borderId="53" xfId="0" applyFont="1" applyFill="1" applyBorder="1" applyAlignment="1" applyProtection="1">
      <alignment/>
      <protection/>
    </xf>
    <xf numFmtId="0" fontId="46" fillId="35" borderId="0" xfId="0" applyFont="1" applyFill="1" applyBorder="1" applyAlignment="1" applyProtection="1">
      <alignment/>
      <protection/>
    </xf>
    <xf numFmtId="0" fontId="47" fillId="35" borderId="53" xfId="45" applyFont="1" applyFill="1" applyBorder="1" applyAlignment="1" applyProtection="1">
      <alignment/>
      <protection/>
    </xf>
    <xf numFmtId="0" fontId="45" fillId="35" borderId="53" xfId="45" applyFont="1" applyFill="1" applyBorder="1" applyAlignment="1" applyProtection="1">
      <alignment/>
      <protection/>
    </xf>
    <xf numFmtId="0" fontId="46" fillId="35" borderId="54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 locked="0"/>
    </xf>
    <xf numFmtId="0" fontId="29" fillId="0" borderId="27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left"/>
      <protection/>
    </xf>
    <xf numFmtId="0" fontId="60" fillId="45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54" applyFont="1" applyFill="1" applyAlignment="1" applyProtection="1">
      <alignment/>
      <protection/>
    </xf>
    <xf numFmtId="0" fontId="21" fillId="0" borderId="29" xfId="0" applyFont="1" applyFill="1" applyBorder="1" applyAlignment="1" applyProtection="1">
      <alignment/>
      <protection/>
    </xf>
    <xf numFmtId="1" fontId="21" fillId="0" borderId="29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45" borderId="0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46" borderId="0" xfId="0" applyFill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0" fontId="1" fillId="46" borderId="0" xfId="0" applyFont="1" applyFill="1" applyAlignment="1" applyProtection="1">
      <alignment horizontal="left"/>
      <protection/>
    </xf>
    <xf numFmtId="2" fontId="22" fillId="0" borderId="49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9" fillId="39" borderId="55" xfId="0" applyFont="1" applyFill="1" applyBorder="1" applyAlignment="1" applyProtection="1">
      <alignment/>
      <protection/>
    </xf>
    <xf numFmtId="0" fontId="7" fillId="39" borderId="56" xfId="45" applyFont="1" applyFill="1" applyBorder="1" applyAlignment="1" applyProtection="1">
      <alignment/>
      <protection/>
    </xf>
    <xf numFmtId="0" fontId="0" fillId="39" borderId="56" xfId="0" applyFill="1" applyBorder="1" applyAlignment="1" applyProtection="1">
      <alignment/>
      <protection/>
    </xf>
    <xf numFmtId="0" fontId="0" fillId="39" borderId="57" xfId="0" applyFill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/>
      <protection/>
    </xf>
    <xf numFmtId="0" fontId="35" fillId="46" borderId="58" xfId="0" applyFont="1" applyFill="1" applyBorder="1" applyAlignment="1" applyProtection="1">
      <alignment/>
      <protection/>
    </xf>
    <xf numFmtId="0" fontId="35" fillId="46" borderId="59" xfId="0" applyFont="1" applyFill="1" applyBorder="1" applyAlignment="1" applyProtection="1">
      <alignment/>
      <protection/>
    </xf>
    <xf numFmtId="0" fontId="0" fillId="46" borderId="60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right"/>
      <protection/>
    </xf>
    <xf numFmtId="172" fontId="0" fillId="46" borderId="0" xfId="0" applyNumberFormat="1" applyFill="1" applyBorder="1" applyAlignment="1" applyProtection="1">
      <alignment/>
      <protection/>
    </xf>
    <xf numFmtId="2" fontId="18" fillId="46" borderId="0" xfId="0" applyNumberFormat="1" applyFont="1" applyFill="1" applyBorder="1" applyAlignment="1" applyProtection="1">
      <alignment horizontal="right"/>
      <protection/>
    </xf>
    <xf numFmtId="172" fontId="25" fillId="46" borderId="0" xfId="0" applyNumberFormat="1" applyFont="1" applyFill="1" applyBorder="1" applyAlignment="1" applyProtection="1">
      <alignment/>
      <protection/>
    </xf>
    <xf numFmtId="10" fontId="25" fillId="46" borderId="0" xfId="54" applyNumberFormat="1" applyFont="1" applyFill="1" applyBorder="1" applyAlignment="1" applyProtection="1">
      <alignment horizontal="right"/>
      <protection/>
    </xf>
    <xf numFmtId="0" fontId="47" fillId="35" borderId="61" xfId="45" applyFont="1" applyFill="1" applyBorder="1" applyAlignment="1" applyProtection="1">
      <alignment/>
      <protection/>
    </xf>
    <xf numFmtId="0" fontId="48" fillId="46" borderId="26" xfId="0" applyFont="1" applyFill="1" applyBorder="1" applyAlignment="1">
      <alignment/>
    </xf>
    <xf numFmtId="0" fontId="22" fillId="35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20" fillId="37" borderId="0" xfId="0" applyFont="1" applyFill="1" applyBorder="1" applyAlignment="1" applyProtection="1">
      <alignment/>
      <protection locked="0"/>
    </xf>
    <xf numFmtId="0" fontId="22" fillId="37" borderId="0" xfId="0" applyFont="1" applyFill="1" applyBorder="1" applyAlignment="1" applyProtection="1">
      <alignment/>
      <protection/>
    </xf>
    <xf numFmtId="0" fontId="20" fillId="44" borderId="0" xfId="0" applyFont="1" applyFill="1" applyBorder="1" applyAlignment="1" applyProtection="1">
      <alignment/>
      <protection locked="0"/>
    </xf>
    <xf numFmtId="0" fontId="22" fillId="4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/>
      <protection/>
    </xf>
    <xf numFmtId="0" fontId="48" fillId="46" borderId="58" xfId="0" applyFont="1" applyFill="1" applyBorder="1" applyAlignment="1" applyProtection="1">
      <alignment/>
      <protection/>
    </xf>
    <xf numFmtId="0" fontId="48" fillId="46" borderId="59" xfId="0" applyFont="1" applyFill="1" applyBorder="1" applyAlignment="1" applyProtection="1">
      <alignment/>
      <protection/>
    </xf>
    <xf numFmtId="0" fontId="62" fillId="46" borderId="54" xfId="0" applyFont="1" applyFill="1" applyBorder="1" applyAlignment="1" applyProtection="1">
      <alignment/>
      <protection/>
    </xf>
    <xf numFmtId="0" fontId="62" fillId="46" borderId="60" xfId="0" applyFon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/>
      <protection/>
    </xf>
    <xf numFmtId="2" fontId="26" fillId="46" borderId="0" xfId="0" applyNumberFormat="1" applyFont="1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/>
    </xf>
    <xf numFmtId="0" fontId="0" fillId="46" borderId="0" xfId="0" applyNumberForma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left"/>
      <protection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1" fontId="24" fillId="42" borderId="0" xfId="0" applyNumberFormat="1" applyFont="1" applyFill="1" applyBorder="1" applyAlignment="1" applyProtection="1">
      <alignment horizontal="center"/>
      <protection/>
    </xf>
    <xf numFmtId="9" fontId="22" fillId="36" borderId="62" xfId="0" applyNumberFormat="1" applyFont="1" applyFill="1" applyBorder="1" applyAlignment="1" applyProtection="1">
      <alignment/>
      <protection locked="0"/>
    </xf>
    <xf numFmtId="0" fontId="64" fillId="39" borderId="24" xfId="0" applyFont="1" applyFill="1" applyBorder="1" applyAlignment="1" applyProtection="1">
      <alignment/>
      <protection locked="0"/>
    </xf>
    <xf numFmtId="0" fontId="65" fillId="39" borderId="17" xfId="0" applyFont="1" applyFill="1" applyBorder="1" applyAlignment="1" applyProtection="1">
      <alignment/>
      <protection/>
    </xf>
    <xf numFmtId="0" fontId="5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33" borderId="0" xfId="0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72" fontId="3" fillId="0" borderId="0" xfId="54" applyNumberFormat="1" applyFont="1" applyBorder="1" applyAlignment="1" applyProtection="1">
      <alignment horizontal="center"/>
      <protection/>
    </xf>
    <xf numFmtId="172" fontId="2" fillId="36" borderId="18" xfId="0" applyNumberFormat="1" applyFont="1" applyFill="1" applyBorder="1" applyAlignment="1" applyProtection="1">
      <alignment/>
      <protection/>
    </xf>
    <xf numFmtId="2" fontId="3" fillId="36" borderId="19" xfId="0" applyNumberFormat="1" applyFont="1" applyFill="1" applyBorder="1" applyAlignment="1" applyProtection="1">
      <alignment horizontal="center"/>
      <protection/>
    </xf>
    <xf numFmtId="172" fontId="2" fillId="36" borderId="22" xfId="0" applyNumberFormat="1" applyFont="1" applyFill="1" applyBorder="1" applyAlignment="1" applyProtection="1">
      <alignment/>
      <protection/>
    </xf>
    <xf numFmtId="172" fontId="3" fillId="36" borderId="23" xfId="54" applyNumberFormat="1" applyFont="1" applyFill="1" applyBorder="1" applyAlignment="1" applyProtection="1">
      <alignment horizontal="center"/>
      <protection/>
    </xf>
    <xf numFmtId="0" fontId="66" fillId="43" borderId="0" xfId="0" applyFont="1" applyFill="1" applyAlignment="1">
      <alignment/>
    </xf>
    <xf numFmtId="0" fontId="67" fillId="43" borderId="0" xfId="0" applyFont="1" applyFill="1" applyAlignment="1">
      <alignment/>
    </xf>
    <xf numFmtId="0" fontId="68" fillId="47" borderId="24" xfId="0" applyFont="1" applyFill="1" applyBorder="1" applyAlignment="1">
      <alignment/>
    </xf>
    <xf numFmtId="0" fontId="68" fillId="47" borderId="17" xfId="0" applyFont="1" applyFill="1" applyBorder="1" applyAlignment="1">
      <alignment/>
    </xf>
    <xf numFmtId="0" fontId="69" fillId="43" borderId="0" xfId="0" applyFont="1" applyFill="1" applyAlignment="1">
      <alignment/>
    </xf>
    <xf numFmtId="9" fontId="24" fillId="43" borderId="0" xfId="54" applyFont="1" applyFill="1" applyBorder="1" applyAlignment="1" applyProtection="1">
      <alignment/>
      <protection/>
    </xf>
    <xf numFmtId="0" fontId="24" fillId="43" borderId="0" xfId="0" applyFont="1" applyFill="1" applyBorder="1" applyAlignment="1" applyProtection="1">
      <alignment/>
      <protection/>
    </xf>
    <xf numFmtId="0" fontId="14" fillId="43" borderId="0" xfId="0" applyFont="1" applyFill="1" applyBorder="1" applyAlignment="1">
      <alignment horizontal="center"/>
    </xf>
    <xf numFmtId="0" fontId="2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3" fillId="43" borderId="0" xfId="0" applyFont="1" applyFill="1" applyBorder="1" applyAlignment="1" applyProtection="1">
      <alignment/>
      <protection/>
    </xf>
    <xf numFmtId="0" fontId="62" fillId="43" borderId="0" xfId="0" applyFont="1" applyFill="1" applyAlignment="1">
      <alignment/>
    </xf>
    <xf numFmtId="9" fontId="8" fillId="47" borderId="25" xfId="0" applyNumberFormat="1" applyFont="1" applyFill="1" applyBorder="1" applyAlignment="1" applyProtection="1">
      <alignment/>
      <protection locked="0"/>
    </xf>
    <xf numFmtId="9" fontId="15" fillId="39" borderId="12" xfId="0" applyNumberFormat="1" applyFont="1" applyFill="1" applyBorder="1" applyAlignment="1" applyProtection="1">
      <alignment/>
      <protection locked="0"/>
    </xf>
    <xf numFmtId="1" fontId="0" fillId="42" borderId="0" xfId="0" applyNumberFormat="1" applyFill="1" applyBorder="1" applyAlignment="1" applyProtection="1">
      <alignment/>
      <protection/>
    </xf>
    <xf numFmtId="0" fontId="70" fillId="34" borderId="63" xfId="0" applyFont="1" applyFill="1" applyBorder="1" applyAlignment="1" applyProtection="1">
      <alignment/>
      <protection/>
    </xf>
    <xf numFmtId="0" fontId="70" fillId="34" borderId="64" xfId="0" applyFont="1" applyFill="1" applyBorder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0" fontId="0" fillId="0" borderId="65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48" borderId="11" xfId="0" applyFill="1" applyBorder="1" applyAlignment="1" applyProtection="1">
      <alignment/>
      <protection/>
    </xf>
    <xf numFmtId="44" fontId="70" fillId="34" borderId="63" xfId="50" applyFont="1" applyFill="1" applyBorder="1" applyAlignment="1" applyProtection="1">
      <alignment horizontal="left"/>
      <protection/>
    </xf>
    <xf numFmtId="10" fontId="70" fillId="34" borderId="64" xfId="54" applyNumberFormat="1" applyFont="1" applyFill="1" applyBorder="1" applyAlignment="1" applyProtection="1">
      <alignment horizontal="right"/>
      <protection/>
    </xf>
    <xf numFmtId="10" fontId="70" fillId="0" borderId="0" xfId="54" applyNumberFormat="1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0" fontId="71" fillId="36" borderId="11" xfId="0" applyFont="1" applyFill="1" applyBorder="1" applyAlignment="1" applyProtection="1">
      <alignment horizontal="right"/>
      <protection/>
    </xf>
    <xf numFmtId="0" fontId="71" fillId="36" borderId="11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30" fillId="0" borderId="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5" fontId="22" fillId="0" borderId="0" xfId="50" applyNumberFormat="1" applyFont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left"/>
      <protection locked="0"/>
    </xf>
    <xf numFmtId="175" fontId="22" fillId="0" borderId="0" xfId="5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left"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2" fontId="0" fillId="0" borderId="30" xfId="0" applyNumberFormat="1" applyBorder="1" applyAlignment="1" applyProtection="1">
      <alignment horizontal="left"/>
      <protection/>
    </xf>
    <xf numFmtId="0" fontId="0" fillId="49" borderId="11" xfId="0" applyFill="1" applyBorder="1" applyAlignment="1" applyProtection="1">
      <alignment/>
      <protection/>
    </xf>
    <xf numFmtId="0" fontId="2" fillId="49" borderId="11" xfId="0" applyFont="1" applyFill="1" applyBorder="1" applyAlignment="1" applyProtection="1">
      <alignment/>
      <protection/>
    </xf>
    <xf numFmtId="2" fontId="0" fillId="48" borderId="30" xfId="0" applyNumberFormat="1" applyFill="1" applyBorder="1" applyAlignment="1" applyProtection="1">
      <alignment horizontal="left"/>
      <protection/>
    </xf>
    <xf numFmtId="2" fontId="0" fillId="48" borderId="11" xfId="0" applyNumberFormat="1" applyFill="1" applyBorder="1" applyAlignment="1" applyProtection="1">
      <alignment horizontal="left"/>
      <protection/>
    </xf>
    <xf numFmtId="0" fontId="72" fillId="43" borderId="0" xfId="0" applyFont="1" applyFill="1" applyAlignment="1">
      <alignment/>
    </xf>
    <xf numFmtId="0" fontId="26" fillId="0" borderId="41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2" fillId="44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6" borderId="11" xfId="0" applyFill="1" applyBorder="1" applyAlignment="1" applyProtection="1">
      <alignment/>
      <protection/>
    </xf>
    <xf numFmtId="2" fontId="0" fillId="36" borderId="11" xfId="0" applyNumberFormat="1" applyFill="1" applyBorder="1" applyAlignment="1" applyProtection="1">
      <alignment horizontal="left"/>
      <protection/>
    </xf>
    <xf numFmtId="0" fontId="23" fillId="13" borderId="0" xfId="0" applyFont="1" applyFill="1" applyBorder="1" applyAlignment="1" applyProtection="1">
      <alignment horizontal="left"/>
      <protection/>
    </xf>
    <xf numFmtId="0" fontId="63" fillId="50" borderId="61" xfId="45" applyFont="1" applyFill="1" applyBorder="1" applyAlignment="1" applyProtection="1">
      <alignment/>
      <protection/>
    </xf>
    <xf numFmtId="0" fontId="119" fillId="50" borderId="66" xfId="0" applyFont="1" applyFill="1" applyBorder="1" applyAlignment="1" applyProtection="1">
      <alignment/>
      <protection/>
    </xf>
    <xf numFmtId="0" fontId="119" fillId="46" borderId="52" xfId="0" applyFont="1" applyFill="1" applyBorder="1" applyAlignment="1" applyProtection="1">
      <alignment/>
      <protection/>
    </xf>
    <xf numFmtId="0" fontId="119" fillId="50" borderId="53" xfId="0" applyFont="1" applyFill="1" applyBorder="1" applyAlignment="1" applyProtection="1">
      <alignment/>
      <protection/>
    </xf>
    <xf numFmtId="0" fontId="119" fillId="46" borderId="0" xfId="0" applyFont="1" applyFill="1" applyBorder="1" applyAlignment="1" applyProtection="1">
      <alignment/>
      <protection/>
    </xf>
    <xf numFmtId="0" fontId="120" fillId="50" borderId="53" xfId="45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2" fontId="0" fillId="50" borderId="0" xfId="0" applyNumberFormat="1" applyFill="1" applyBorder="1" applyAlignment="1" applyProtection="1">
      <alignment horizontal="right"/>
      <protection/>
    </xf>
    <xf numFmtId="0" fontId="0" fillId="50" borderId="0" xfId="0" applyFill="1" applyAlignment="1" applyProtection="1">
      <alignment/>
      <protection/>
    </xf>
    <xf numFmtId="0" fontId="0" fillId="51" borderId="0" xfId="0" applyFill="1" applyAlignment="1" applyProtection="1">
      <alignment/>
      <protection/>
    </xf>
    <xf numFmtId="2" fontId="0" fillId="51" borderId="0" xfId="0" applyNumberFormat="1" applyFill="1" applyAlignment="1" applyProtection="1">
      <alignment/>
      <protection/>
    </xf>
    <xf numFmtId="0" fontId="0" fillId="51" borderId="0" xfId="0" applyFill="1" applyBorder="1" applyAlignment="1" applyProtection="1">
      <alignment/>
      <protection/>
    </xf>
    <xf numFmtId="0" fontId="0" fillId="52" borderId="0" xfId="0" applyFill="1" applyAlignment="1" applyProtection="1">
      <alignment/>
      <protection/>
    </xf>
    <xf numFmtId="0" fontId="60" fillId="52" borderId="0" xfId="0" applyFont="1" applyFill="1" applyAlignment="1" applyProtection="1">
      <alignment/>
      <protection/>
    </xf>
    <xf numFmtId="0" fontId="0" fillId="52" borderId="0" xfId="0" applyFill="1" applyBorder="1" applyAlignment="1" applyProtection="1">
      <alignment/>
      <protection/>
    </xf>
    <xf numFmtId="0" fontId="121" fillId="0" borderId="0" xfId="0" applyFont="1" applyFill="1" applyBorder="1" applyAlignment="1" applyProtection="1">
      <alignment/>
      <protection/>
    </xf>
    <xf numFmtId="0" fontId="122" fillId="0" borderId="0" xfId="0" applyFont="1" applyFill="1" applyAlignment="1" applyProtection="1">
      <alignment/>
      <protection/>
    </xf>
    <xf numFmtId="10" fontId="121" fillId="0" borderId="0" xfId="54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121" fillId="53" borderId="67" xfId="0" applyFont="1" applyFill="1" applyBorder="1" applyAlignment="1" applyProtection="1">
      <alignment/>
      <protection/>
    </xf>
    <xf numFmtId="2" fontId="121" fillId="53" borderId="68" xfId="0" applyNumberFormat="1" applyFont="1" applyFill="1" applyBorder="1" applyAlignment="1" applyProtection="1">
      <alignment/>
      <protection/>
    </xf>
    <xf numFmtId="0" fontId="121" fillId="53" borderId="69" xfId="0" applyFont="1" applyFill="1" applyBorder="1" applyAlignment="1" applyProtection="1">
      <alignment/>
      <protection/>
    </xf>
    <xf numFmtId="10" fontId="121" fillId="53" borderId="70" xfId="54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 hidden="1"/>
    </xf>
    <xf numFmtId="0" fontId="2" fillId="41" borderId="71" xfId="0" applyFont="1" applyFill="1" applyBorder="1" applyAlignment="1" applyProtection="1">
      <alignment horizontal="right"/>
      <protection/>
    </xf>
    <xf numFmtId="0" fontId="2" fillId="0" borderId="72" xfId="0" applyFont="1" applyFill="1" applyBorder="1" applyAlignment="1" applyProtection="1">
      <alignment/>
      <protection/>
    </xf>
    <xf numFmtId="0" fontId="123" fillId="13" borderId="0" xfId="0" applyFont="1" applyFill="1" applyAlignment="1" applyProtection="1">
      <alignment/>
      <protection/>
    </xf>
    <xf numFmtId="0" fontId="121" fillId="54" borderId="0" xfId="0" applyFont="1" applyFill="1" applyBorder="1" applyAlignment="1" applyProtection="1">
      <alignment horizontal="left"/>
      <protection/>
    </xf>
    <xf numFmtId="0" fontId="3" fillId="0" borderId="73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1" fontId="3" fillId="0" borderId="74" xfId="0" applyNumberFormat="1" applyFont="1" applyFill="1" applyBorder="1" applyAlignment="1" applyProtection="1">
      <alignment/>
      <protection/>
    </xf>
    <xf numFmtId="2" fontId="20" fillId="0" borderId="75" xfId="0" applyNumberFormat="1" applyFont="1" applyFill="1" applyBorder="1" applyAlignment="1" applyProtection="1">
      <alignment horizontal="center"/>
      <protection/>
    </xf>
    <xf numFmtId="2" fontId="20" fillId="0" borderId="7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124" fillId="0" borderId="13" xfId="0" applyNumberFormat="1" applyFont="1" applyBorder="1" applyAlignment="1" applyProtection="1">
      <alignment/>
      <protection hidden="1"/>
    </xf>
    <xf numFmtId="0" fontId="124" fillId="0" borderId="0" xfId="0" applyNumberFormat="1" applyFont="1" applyAlignment="1" applyProtection="1">
      <alignment/>
      <protection hidden="1"/>
    </xf>
    <xf numFmtId="0" fontId="125" fillId="0" borderId="65" xfId="0" applyNumberFormat="1" applyFont="1" applyBorder="1" applyAlignment="1" applyProtection="1">
      <alignment/>
      <protection hidden="1"/>
    </xf>
    <xf numFmtId="0" fontId="125" fillId="55" borderId="65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25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2" fillId="55" borderId="0" xfId="0" applyFont="1" applyFill="1" applyAlignment="1" applyProtection="1">
      <alignment/>
      <protection/>
    </xf>
    <xf numFmtId="0" fontId="0" fillId="55" borderId="0" xfId="0" applyFill="1" applyAlignment="1" applyProtection="1">
      <alignment/>
      <protection/>
    </xf>
    <xf numFmtId="10" fontId="121" fillId="0" borderId="0" xfId="54" applyNumberFormat="1" applyFont="1" applyFill="1" applyBorder="1" applyAlignment="1" applyProtection="1">
      <alignment/>
      <protection/>
    </xf>
    <xf numFmtId="2" fontId="5" fillId="50" borderId="0" xfId="0" applyNumberFormat="1" applyFont="1" applyFill="1" applyBorder="1" applyAlignment="1" applyProtection="1">
      <alignment horizontal="left"/>
      <protection/>
    </xf>
    <xf numFmtId="0" fontId="4" fillId="0" borderId="0" xfId="45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0" fillId="0" borderId="77" xfId="0" applyNumberForma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55" borderId="11" xfId="0" applyFill="1" applyBorder="1" applyAlignment="1" applyProtection="1">
      <alignment/>
      <protection hidden="1"/>
    </xf>
    <xf numFmtId="0" fontId="30" fillId="55" borderId="11" xfId="0" applyFont="1" applyFill="1" applyBorder="1" applyAlignment="1" applyProtection="1">
      <alignment/>
      <protection hidden="1"/>
    </xf>
    <xf numFmtId="0" fontId="0" fillId="55" borderId="30" xfId="0" applyNumberFormat="1" applyFill="1" applyBorder="1" applyAlignment="1" applyProtection="1">
      <alignment/>
      <protection hidden="1"/>
    </xf>
    <xf numFmtId="0" fontId="0" fillId="55" borderId="65" xfId="0" applyNumberFormat="1" applyFill="1" applyBorder="1" applyAlignment="1" applyProtection="1">
      <alignment/>
      <protection hidden="1"/>
    </xf>
    <xf numFmtId="0" fontId="0" fillId="55" borderId="77" xfId="0" applyNumberFormat="1" applyFill="1" applyBorder="1" applyAlignment="1" applyProtection="1">
      <alignment/>
      <protection hidden="1"/>
    </xf>
    <xf numFmtId="0" fontId="0" fillId="55" borderId="16" xfId="0" applyFill="1" applyBorder="1" applyAlignment="1" applyProtection="1">
      <alignment/>
      <protection hidden="1"/>
    </xf>
    <xf numFmtId="0" fontId="0" fillId="55" borderId="11" xfId="0" applyFill="1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0" fontId="2" fillId="0" borderId="78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right"/>
      <protection/>
    </xf>
    <xf numFmtId="2" fontId="0" fillId="0" borderId="46" xfId="0" applyNumberFormat="1" applyFont="1" applyFill="1" applyBorder="1" applyAlignment="1" applyProtection="1">
      <alignment horizontal="left"/>
      <protection/>
    </xf>
    <xf numFmtId="0" fontId="29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4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1" fontId="0" fillId="0" borderId="11" xfId="0" applyNumberFormat="1" applyFont="1" applyBorder="1" applyAlignment="1">
      <alignment horizontal="right"/>
    </xf>
    <xf numFmtId="0" fontId="0" fillId="55" borderId="0" xfId="0" applyFont="1" applyFill="1" applyAlignment="1" applyProtection="1">
      <alignment/>
      <protection/>
    </xf>
    <xf numFmtId="0" fontId="0" fillId="55" borderId="0" xfId="54" applyNumberFormat="1" applyFont="1" applyFill="1" applyAlignment="1" applyProtection="1">
      <alignment/>
      <protection/>
    </xf>
    <xf numFmtId="10" fontId="0" fillId="0" borderId="0" xfId="54" applyNumberFormat="1" applyFont="1" applyAlignment="1" applyProtection="1">
      <alignment/>
      <protection/>
    </xf>
    <xf numFmtId="0" fontId="126" fillId="0" borderId="0" xfId="0" applyFont="1" applyAlignment="1">
      <alignment/>
    </xf>
    <xf numFmtId="0" fontId="126" fillId="0" borderId="65" xfId="0" applyNumberFormat="1" applyFont="1" applyBorder="1" applyAlignment="1" applyProtection="1">
      <alignment/>
      <protection hidden="1"/>
    </xf>
    <xf numFmtId="0" fontId="127" fillId="55" borderId="65" xfId="0" applyNumberFormat="1" applyFont="1" applyFill="1" applyBorder="1" applyAlignment="1" applyProtection="1">
      <alignment/>
      <protection hidden="1"/>
    </xf>
    <xf numFmtId="0" fontId="14" fillId="0" borderId="0" xfId="0" applyFont="1" applyAlignment="1">
      <alignment/>
    </xf>
    <xf numFmtId="0" fontId="128" fillId="56" borderId="0" xfId="0" applyFont="1" applyFill="1" applyAlignment="1" applyProtection="1">
      <alignment/>
      <protection/>
    </xf>
    <xf numFmtId="0" fontId="129" fillId="56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4" fontId="70" fillId="0" borderId="0" xfId="50" applyFont="1" applyFill="1" applyBorder="1" applyAlignment="1" applyProtection="1">
      <alignment horizontal="left"/>
      <protection/>
    </xf>
    <xf numFmtId="0" fontId="125" fillId="55" borderId="30" xfId="0" applyNumberFormat="1" applyFont="1" applyFill="1" applyBorder="1" applyAlignment="1" applyProtection="1">
      <alignment/>
      <protection hidden="1"/>
    </xf>
    <xf numFmtId="0" fontId="0" fillId="55" borderId="11" xfId="0" applyFill="1" applyBorder="1" applyAlignment="1" applyProtection="1">
      <alignment horizontal="right"/>
      <protection/>
    </xf>
    <xf numFmtId="2" fontId="0" fillId="55" borderId="11" xfId="0" applyNumberFormat="1" applyFill="1" applyBorder="1" applyAlignment="1" applyProtection="1">
      <alignment horizontal="left"/>
      <protection/>
    </xf>
    <xf numFmtId="0" fontId="2" fillId="57" borderId="72" xfId="0" applyFont="1" applyFill="1" applyBorder="1" applyAlignment="1" applyProtection="1">
      <alignment/>
      <protection/>
    </xf>
    <xf numFmtId="0" fontId="2" fillId="57" borderId="78" xfId="0" applyFont="1" applyFill="1" applyBorder="1" applyAlignment="1" applyProtection="1">
      <alignment/>
      <protection/>
    </xf>
    <xf numFmtId="0" fontId="128" fillId="58" borderId="0" xfId="0" applyFont="1" applyFill="1" applyAlignment="1" applyProtection="1">
      <alignment/>
      <protection/>
    </xf>
    <xf numFmtId="0" fontId="129" fillId="58" borderId="0" xfId="0" applyFont="1" applyFill="1" applyAlignment="1" applyProtection="1">
      <alignment/>
      <protection/>
    </xf>
    <xf numFmtId="0" fontId="128" fillId="59" borderId="0" xfId="0" applyFont="1" applyFill="1" applyAlignment="1" applyProtection="1">
      <alignment/>
      <protection/>
    </xf>
    <xf numFmtId="0" fontId="129" fillId="59" borderId="0" xfId="0" applyFont="1" applyFill="1" applyAlignment="1" applyProtection="1">
      <alignment/>
      <protection/>
    </xf>
    <xf numFmtId="17" fontId="67" fillId="42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 applyProtection="1">
      <alignment/>
      <protection/>
    </xf>
    <xf numFmtId="0" fontId="121" fillId="0" borderId="67" xfId="0" applyFont="1" applyFill="1" applyBorder="1" applyAlignment="1" applyProtection="1">
      <alignment/>
      <protection/>
    </xf>
    <xf numFmtId="0" fontId="121" fillId="0" borderId="69" xfId="0" applyFont="1" applyFill="1" applyBorder="1" applyAlignment="1" applyProtection="1">
      <alignment/>
      <protection/>
    </xf>
    <xf numFmtId="0" fontId="121" fillId="0" borderId="79" xfId="0" applyFont="1" applyFill="1" applyBorder="1" applyAlignment="1" applyProtection="1">
      <alignment/>
      <protection/>
    </xf>
    <xf numFmtId="0" fontId="0" fillId="55" borderId="74" xfId="0" applyFill="1" applyBorder="1" applyAlignment="1" applyProtection="1">
      <alignment horizontal="right"/>
      <protection/>
    </xf>
    <xf numFmtId="0" fontId="0" fillId="55" borderId="13" xfId="0" applyFill="1" applyBorder="1" applyAlignment="1" applyProtection="1">
      <alignment horizontal="right"/>
      <protection/>
    </xf>
    <xf numFmtId="2" fontId="0" fillId="55" borderId="27" xfId="0" applyNumberFormat="1" applyFill="1" applyBorder="1" applyAlignment="1" applyProtection="1">
      <alignment horizontal="left"/>
      <protection/>
    </xf>
    <xf numFmtId="0" fontId="0" fillId="55" borderId="11" xfId="0" applyFont="1" applyFill="1" applyBorder="1" applyAlignment="1" applyProtection="1">
      <alignment horizontal="right"/>
      <protection/>
    </xf>
    <xf numFmtId="2" fontId="0" fillId="0" borderId="49" xfId="0" applyNumberFormat="1" applyBorder="1" applyAlignment="1" applyProtection="1">
      <alignment horizontal="left"/>
      <protection/>
    </xf>
    <xf numFmtId="0" fontId="0" fillId="55" borderId="16" xfId="0" applyFont="1" applyFill="1" applyBorder="1" applyAlignment="1" applyProtection="1">
      <alignment horizontal="right"/>
      <protection/>
    </xf>
    <xf numFmtId="0" fontId="73" fillId="55" borderId="80" xfId="0" applyFont="1" applyFill="1" applyBorder="1" applyAlignment="1" applyProtection="1">
      <alignment horizontal="left"/>
      <protection/>
    </xf>
    <xf numFmtId="0" fontId="0" fillId="55" borderId="13" xfId="0" applyFont="1" applyFill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44" fontId="3" fillId="0" borderId="0" xfId="50" applyFont="1" applyFill="1" applyBorder="1" applyAlignment="1" applyProtection="1">
      <alignment horizontal="left"/>
      <protection/>
    </xf>
    <xf numFmtId="10" fontId="3" fillId="0" borderId="0" xfId="54" applyNumberFormat="1" applyFont="1" applyFill="1" applyBorder="1" applyAlignment="1" applyProtection="1">
      <alignment horizontal="right"/>
      <protection/>
    </xf>
    <xf numFmtId="2" fontId="76" fillId="0" borderId="25" xfId="0" applyNumberFormat="1" applyFont="1" applyBorder="1" applyAlignment="1" applyProtection="1">
      <alignment horizontal="center"/>
      <protection/>
    </xf>
    <xf numFmtId="2" fontId="74" fillId="0" borderId="25" xfId="0" applyNumberFormat="1" applyFont="1" applyBorder="1" applyAlignment="1" applyProtection="1">
      <alignment horizontal="right"/>
      <protection/>
    </xf>
    <xf numFmtId="2" fontId="75" fillId="0" borderId="25" xfId="0" applyNumberFormat="1" applyFont="1" applyBorder="1" applyAlignment="1" applyProtection="1">
      <alignment horizontal="right"/>
      <protection/>
    </xf>
    <xf numFmtId="2" fontId="70" fillId="0" borderId="0" xfId="54" applyNumberFormat="1" applyFont="1" applyFill="1" applyBorder="1" applyAlignment="1" applyProtection="1">
      <alignment horizontal="right"/>
      <protection/>
    </xf>
    <xf numFmtId="0" fontId="2" fillId="0" borderId="65" xfId="0" applyNumberFormat="1" applyFont="1" applyBorder="1" applyAlignment="1" applyProtection="1">
      <alignment/>
      <protection hidden="1"/>
    </xf>
    <xf numFmtId="0" fontId="125" fillId="0" borderId="30" xfId="0" applyNumberFormat="1" applyFont="1" applyBorder="1" applyAlignment="1" applyProtection="1">
      <alignment/>
      <protection hidden="1"/>
    </xf>
    <xf numFmtId="0" fontId="2" fillId="55" borderId="65" xfId="0" applyNumberFormat="1" applyFont="1" applyFill="1" applyBorder="1" applyAlignment="1" applyProtection="1">
      <alignment/>
      <protection hidden="1"/>
    </xf>
    <xf numFmtId="0" fontId="0" fillId="55" borderId="0" xfId="0" applyFill="1" applyAlignment="1">
      <alignment/>
    </xf>
    <xf numFmtId="0" fontId="130" fillId="33" borderId="11" xfId="0" applyFont="1" applyFill="1" applyBorder="1" applyAlignment="1" applyProtection="1">
      <alignment/>
      <protection hidden="1"/>
    </xf>
    <xf numFmtId="0" fontId="126" fillId="33" borderId="11" xfId="0" applyFont="1" applyFill="1" applyBorder="1" applyAlignment="1" applyProtection="1">
      <alignment/>
      <protection hidden="1"/>
    </xf>
    <xf numFmtId="0" fontId="126" fillId="0" borderId="30" xfId="0" applyNumberFormat="1" applyFont="1" applyBorder="1" applyAlignment="1" applyProtection="1">
      <alignment/>
      <protection hidden="1"/>
    </xf>
    <xf numFmtId="0" fontId="127" fillId="0" borderId="65" xfId="0" applyNumberFormat="1" applyFont="1" applyBorder="1" applyAlignment="1" applyProtection="1">
      <alignment/>
      <protection hidden="1"/>
    </xf>
    <xf numFmtId="0" fontId="130" fillId="0" borderId="11" xfId="0" applyFont="1" applyBorder="1" applyAlignment="1" applyProtection="1">
      <alignment/>
      <protection hidden="1"/>
    </xf>
    <xf numFmtId="0" fontId="126" fillId="0" borderId="11" xfId="0" applyFont="1" applyBorder="1" applyAlignment="1" applyProtection="1">
      <alignment/>
      <protection hidden="1"/>
    </xf>
    <xf numFmtId="0" fontId="0" fillId="0" borderId="74" xfId="0" applyBorder="1" applyAlignment="1" applyProtection="1">
      <alignment/>
      <protection hidden="1"/>
    </xf>
    <xf numFmtId="0" fontId="126" fillId="0" borderId="16" xfId="0" applyFont="1" applyBorder="1" applyAlignment="1" applyProtection="1">
      <alignment/>
      <protection hidden="1"/>
    </xf>
    <xf numFmtId="0" fontId="126" fillId="0" borderId="11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25" fillId="0" borderId="0" xfId="0" applyNumberFormat="1" applyFont="1" applyBorder="1" applyAlignment="1" applyProtection="1">
      <alignment/>
      <protection hidden="1"/>
    </xf>
    <xf numFmtId="0" fontId="2" fillId="0" borderId="77" xfId="0" applyNumberFormat="1" applyFont="1" applyBorder="1" applyAlignment="1" applyProtection="1">
      <alignment/>
      <protection hidden="1"/>
    </xf>
    <xf numFmtId="0" fontId="125" fillId="0" borderId="77" xfId="0" applyNumberFormat="1" applyFont="1" applyBorder="1" applyAlignment="1" applyProtection="1">
      <alignment/>
      <protection hidden="1"/>
    </xf>
    <xf numFmtId="0" fontId="0" fillId="0" borderId="81" xfId="0" applyBorder="1" applyAlignment="1">
      <alignment/>
    </xf>
    <xf numFmtId="0" fontId="100" fillId="13" borderId="0" xfId="0" applyFont="1" applyFill="1" applyBorder="1" applyAlignment="1" applyProtection="1">
      <alignment horizontal="left"/>
      <protection/>
    </xf>
    <xf numFmtId="0" fontId="131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2549"/>
        <xdr:cNvSpPr>
          <a:spLocks/>
        </xdr:cNvSpPr>
      </xdr:nvSpPr>
      <xdr:spPr>
        <a:xfrm>
          <a:off x="0" y="0"/>
          <a:ext cx="198367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287"/>
  <sheetViews>
    <sheetView showGridLines="0" tabSelected="1" zoomScale="70" zoomScaleNormal="70" zoomScalePageLayoutView="0" workbookViewId="0" topLeftCell="A28">
      <selection activeCell="A1" sqref="A1"/>
    </sheetView>
  </sheetViews>
  <sheetFormatPr defaultColWidth="11.421875" defaultRowHeight="12.75"/>
  <cols>
    <col min="1" max="1" width="13.7109375" style="10" customWidth="1"/>
    <col min="2" max="2" width="14.140625" style="10" customWidth="1"/>
    <col min="3" max="3" width="29.57421875" style="10" customWidth="1"/>
    <col min="4" max="4" width="23.57421875" style="10" customWidth="1"/>
    <col min="5" max="5" width="12.7109375" style="10" customWidth="1"/>
    <col min="6" max="6" width="20.8515625" style="10" customWidth="1"/>
    <col min="7" max="7" width="25.57421875" style="10" customWidth="1"/>
    <col min="8" max="8" width="20.28125" style="10" customWidth="1"/>
    <col min="9" max="9" width="7.7109375" style="10" customWidth="1"/>
    <col min="10" max="10" width="22.8515625" style="10" customWidth="1"/>
    <col min="11" max="11" width="27.00390625" style="10" customWidth="1"/>
    <col min="12" max="12" width="19.57421875" style="10" customWidth="1"/>
    <col min="13" max="13" width="27.57421875" style="10" customWidth="1"/>
    <col min="14" max="14" width="17.57421875" style="10" customWidth="1"/>
    <col min="15" max="15" width="22.57421875" style="10" customWidth="1"/>
    <col min="16" max="16" width="16.7109375" style="10" customWidth="1"/>
    <col min="17" max="17" width="15.00390625" style="10" customWidth="1"/>
    <col min="18" max="18" width="30.00390625" style="10" customWidth="1"/>
    <col min="19" max="19" width="20.28125" style="10" customWidth="1"/>
    <col min="20" max="20" width="18.00390625" style="10" customWidth="1"/>
    <col min="21" max="21" width="16.00390625" style="10" bestFit="1" customWidth="1"/>
    <col min="22" max="24" width="11.421875" style="10" customWidth="1"/>
    <col min="25" max="25" width="13.28125" style="10" customWidth="1"/>
    <col min="26" max="16384" width="11.421875" style="10" customWidth="1"/>
  </cols>
  <sheetData>
    <row r="1" ht="12.75">
      <c r="A1" s="295"/>
    </row>
    <row r="2" spans="1:7" ht="12.75">
      <c r="A2" s="295"/>
      <c r="B2" s="155"/>
      <c r="C2" s="155"/>
      <c r="D2" s="155"/>
      <c r="E2" s="155"/>
      <c r="F2" s="155"/>
      <c r="G2" s="155"/>
    </row>
    <row r="3" spans="1:11" ht="23.25">
      <c r="A3" s="2"/>
      <c r="B3" s="292"/>
      <c r="C3" s="554" t="s">
        <v>416</v>
      </c>
      <c r="D3" s="418"/>
      <c r="E3" s="418"/>
      <c r="F3" s="418"/>
      <c r="G3" s="293"/>
      <c r="H3" s="3"/>
      <c r="I3" s="4"/>
      <c r="J3" s="1"/>
      <c r="K3" s="2"/>
    </row>
    <row r="4" spans="1:11" ht="23.25">
      <c r="A4" s="2"/>
      <c r="B4" s="292"/>
      <c r="C4" s="554" t="s">
        <v>367</v>
      </c>
      <c r="D4" s="418"/>
      <c r="E4" s="418"/>
      <c r="F4" s="418"/>
      <c r="G4" s="293"/>
      <c r="H4" s="3"/>
      <c r="I4" s="4"/>
      <c r="J4" s="1"/>
      <c r="K4" s="2"/>
    </row>
    <row r="5" spans="1:11" ht="18">
      <c r="A5" s="2"/>
      <c r="B5" s="292"/>
      <c r="C5" s="446" t="s">
        <v>483</v>
      </c>
      <c r="D5" s="418"/>
      <c r="E5" s="418"/>
      <c r="F5" s="418"/>
      <c r="G5" s="293"/>
      <c r="H5" s="3"/>
      <c r="I5" s="4"/>
      <c r="J5" s="1"/>
      <c r="K5" s="2"/>
    </row>
    <row r="6" spans="1:11" ht="15.75">
      <c r="A6" s="2"/>
      <c r="B6" s="325"/>
      <c r="C6" s="447"/>
      <c r="D6" s="327"/>
      <c r="E6" s="328"/>
      <c r="F6" s="327"/>
      <c r="G6" s="329"/>
      <c r="H6" s="6"/>
      <c r="I6" s="4"/>
      <c r="J6" s="2"/>
      <c r="K6" s="2"/>
    </row>
    <row r="7" spans="1:11" ht="15">
      <c r="A7" s="2"/>
      <c r="B7" s="325"/>
      <c r="C7" s="326"/>
      <c r="D7" s="327"/>
      <c r="E7" s="328"/>
      <c r="F7" s="327"/>
      <c r="G7" s="329"/>
      <c r="H7" s="6"/>
      <c r="I7" s="4"/>
      <c r="J7" s="2"/>
      <c r="K7" s="2"/>
    </row>
    <row r="8" spans="1:11" ht="18">
      <c r="A8" s="2"/>
      <c r="B8" s="467"/>
      <c r="C8" s="428"/>
      <c r="D8" s="425"/>
      <c r="E8" s="426"/>
      <c r="F8" s="425"/>
      <c r="G8" s="427"/>
      <c r="H8" s="6"/>
      <c r="I8" s="4"/>
      <c r="J8" s="2"/>
      <c r="K8" s="2"/>
    </row>
    <row r="9" spans="1:11" ht="15">
      <c r="A9" s="2"/>
      <c r="B9" s="325"/>
      <c r="C9" s="326"/>
      <c r="D9" s="327"/>
      <c r="E9" s="328"/>
      <c r="F9" s="327"/>
      <c r="G9" s="329"/>
      <c r="H9" s="6"/>
      <c r="I9" s="4"/>
      <c r="J9" s="2"/>
      <c r="K9" s="2"/>
    </row>
    <row r="10" spans="1:11" ht="13.5" thickBot="1">
      <c r="A10" s="2"/>
      <c r="B10" s="1"/>
      <c r="C10" s="1"/>
      <c r="D10" s="2"/>
      <c r="E10" s="1"/>
      <c r="F10" s="2"/>
      <c r="G10" s="5"/>
      <c r="H10" s="1"/>
      <c r="I10" s="4"/>
      <c r="J10" s="1"/>
      <c r="K10" s="2"/>
    </row>
    <row r="11" spans="1:11" ht="18.75" thickBot="1">
      <c r="A11" s="2"/>
      <c r="B11" s="5"/>
      <c r="C11" s="44" t="s">
        <v>0</v>
      </c>
      <c r="D11" s="43" t="s">
        <v>1</v>
      </c>
      <c r="E11" s="45"/>
      <c r="F11" s="44" t="s">
        <v>0</v>
      </c>
      <c r="G11" s="39"/>
      <c r="H11" s="7"/>
      <c r="I11" s="4"/>
      <c r="J11" s="7"/>
      <c r="K11" s="2"/>
    </row>
    <row r="12" spans="1:11" ht="18">
      <c r="A12" s="2"/>
      <c r="B12" s="2"/>
      <c r="C12" s="2"/>
      <c r="D12" s="46" t="s">
        <v>326</v>
      </c>
      <c r="E12" s="47"/>
      <c r="F12" s="38"/>
      <c r="G12" s="38"/>
      <c r="H12" s="1"/>
      <c r="I12" s="2"/>
      <c r="J12" s="1"/>
      <c r="K12" s="2"/>
    </row>
    <row r="13" spans="1:11" ht="18">
      <c r="A13" s="2"/>
      <c r="B13" s="2"/>
      <c r="C13" s="2"/>
      <c r="D13" s="46" t="s">
        <v>2</v>
      </c>
      <c r="E13" s="47"/>
      <c r="F13" s="38"/>
      <c r="G13" s="38"/>
      <c r="H13" s="1"/>
      <c r="I13" s="2"/>
      <c r="J13" s="1"/>
      <c r="K13" s="2"/>
    </row>
    <row r="14" spans="1:11" ht="18.75" thickBot="1">
      <c r="A14" s="2"/>
      <c r="B14" s="1"/>
      <c r="C14" s="4"/>
      <c r="D14" s="46" t="s">
        <v>3</v>
      </c>
      <c r="E14" s="47"/>
      <c r="F14" s="38"/>
      <c r="G14" s="40"/>
      <c r="H14" s="8"/>
      <c r="I14" s="4"/>
      <c r="J14" s="7"/>
      <c r="K14" s="2"/>
    </row>
    <row r="15" spans="1:11" ht="18.75" thickBot="1">
      <c r="A15" s="2"/>
      <c r="B15" s="1"/>
      <c r="C15" s="44" t="s">
        <v>0</v>
      </c>
      <c r="D15" s="48" t="s">
        <v>337</v>
      </c>
      <c r="E15" s="49"/>
      <c r="F15" s="44" t="s">
        <v>0</v>
      </c>
      <c r="G15" s="13"/>
      <c r="H15" s="8"/>
      <c r="I15" s="4"/>
      <c r="J15" s="7"/>
      <c r="K15" s="2"/>
    </row>
    <row r="16" spans="1:11" ht="15.75">
      <c r="A16" s="2"/>
      <c r="B16" s="1"/>
      <c r="C16" s="1"/>
      <c r="D16" s="4"/>
      <c r="E16" s="50"/>
      <c r="F16" s="2"/>
      <c r="G16" s="1"/>
      <c r="H16" s="8"/>
      <c r="I16" s="4"/>
      <c r="J16" s="7"/>
      <c r="K16" s="2"/>
    </row>
    <row r="17" spans="1:11" ht="12.75">
      <c r="A17" s="2"/>
      <c r="B17" s="2"/>
      <c r="C17" s="2"/>
      <c r="D17" s="2"/>
      <c r="E17" s="2"/>
      <c r="F17" s="2"/>
      <c r="G17" s="9"/>
      <c r="H17" s="1"/>
      <c r="I17" s="9"/>
      <c r="J17" s="2"/>
      <c r="K17" s="2"/>
    </row>
    <row r="18" spans="1:7" s="11" customFormat="1" ht="13.5" thickBot="1">
      <c r="A18" s="51"/>
      <c r="B18" s="51"/>
      <c r="C18" s="51"/>
      <c r="D18" s="52"/>
      <c r="E18" s="53"/>
      <c r="F18" s="10"/>
      <c r="G18" s="10"/>
    </row>
    <row r="19" spans="1:255" s="11" customFormat="1" ht="24.75" thickBot="1" thickTop="1">
      <c r="A19" s="54" t="s">
        <v>4</v>
      </c>
      <c r="B19" s="55"/>
      <c r="C19" s="56" t="s">
        <v>5</v>
      </c>
      <c r="D19" s="57" t="s">
        <v>5</v>
      </c>
      <c r="E19" s="58" t="s">
        <v>5</v>
      </c>
      <c r="F19" s="10"/>
      <c r="G19" s="10"/>
      <c r="I19" s="59"/>
      <c r="K19" s="60"/>
      <c r="L19" s="61"/>
      <c r="M19" s="62"/>
      <c r="Q19" s="59"/>
      <c r="S19" s="60"/>
      <c r="T19" s="60"/>
      <c r="U19" s="60"/>
      <c r="V19" s="60"/>
      <c r="W19" s="60"/>
      <c r="X19" s="61"/>
      <c r="Y19" s="62"/>
      <c r="AC19" s="59"/>
      <c r="AE19" s="60"/>
      <c r="AF19" s="61"/>
      <c r="AG19" s="62"/>
      <c r="AK19" s="59"/>
      <c r="AM19" s="60"/>
      <c r="AN19" s="61"/>
      <c r="AO19" s="62"/>
      <c r="AS19" s="59"/>
      <c r="AU19" s="60"/>
      <c r="AV19" s="61"/>
      <c r="AW19" s="62"/>
      <c r="BA19" s="59"/>
      <c r="BC19" s="60"/>
      <c r="BD19" s="61"/>
      <c r="BE19" s="62"/>
      <c r="BI19" s="59"/>
      <c r="BK19" s="60"/>
      <c r="BL19" s="61"/>
      <c r="BM19" s="62"/>
      <c r="BQ19" s="59"/>
      <c r="BS19" s="60"/>
      <c r="BT19" s="61"/>
      <c r="BU19" s="62"/>
      <c r="BY19" s="59"/>
      <c r="CA19" s="60"/>
      <c r="CB19" s="61"/>
      <c r="CC19" s="62"/>
      <c r="CG19" s="59"/>
      <c r="CI19" s="60"/>
      <c r="CJ19" s="61"/>
      <c r="CK19" s="62"/>
      <c r="CO19" s="59"/>
      <c r="CQ19" s="60"/>
      <c r="CR19" s="61"/>
      <c r="CS19" s="62"/>
      <c r="CW19" s="59"/>
      <c r="CY19" s="60"/>
      <c r="CZ19" s="61"/>
      <c r="DA19" s="62"/>
      <c r="DE19" s="59"/>
      <c r="DG19" s="60"/>
      <c r="DH19" s="61"/>
      <c r="DI19" s="62"/>
      <c r="DM19" s="59"/>
      <c r="DO19" s="60"/>
      <c r="DP19" s="61"/>
      <c r="DQ19" s="62"/>
      <c r="DU19" s="59"/>
      <c r="DW19" s="60"/>
      <c r="DX19" s="61"/>
      <c r="DY19" s="62"/>
      <c r="EC19" s="59"/>
      <c r="EE19" s="60"/>
      <c r="EF19" s="61"/>
      <c r="EG19" s="62"/>
      <c r="EK19" s="59"/>
      <c r="EM19" s="60"/>
      <c r="EN19" s="61"/>
      <c r="EO19" s="62"/>
      <c r="ES19" s="59"/>
      <c r="EU19" s="60"/>
      <c r="EV19" s="61"/>
      <c r="EW19" s="62"/>
      <c r="FA19" s="59"/>
      <c r="FC19" s="60"/>
      <c r="FD19" s="61"/>
      <c r="FE19" s="62"/>
      <c r="FI19" s="59"/>
      <c r="FK19" s="60"/>
      <c r="FL19" s="61"/>
      <c r="FM19" s="62"/>
      <c r="FQ19" s="59"/>
      <c r="FS19" s="60"/>
      <c r="FT19" s="61"/>
      <c r="FU19" s="62"/>
      <c r="FY19" s="59"/>
      <c r="GA19" s="60"/>
      <c r="GB19" s="61"/>
      <c r="GC19" s="62"/>
      <c r="GG19" s="59"/>
      <c r="GI19" s="60"/>
      <c r="GJ19" s="61"/>
      <c r="GK19" s="62"/>
      <c r="GO19" s="59"/>
      <c r="GQ19" s="60"/>
      <c r="GR19" s="61"/>
      <c r="GS19" s="62"/>
      <c r="GW19" s="59"/>
      <c r="GY19" s="60"/>
      <c r="GZ19" s="61"/>
      <c r="HA19" s="62"/>
      <c r="HE19" s="59"/>
      <c r="HG19" s="60"/>
      <c r="HH19" s="61"/>
      <c r="HI19" s="62"/>
      <c r="HM19" s="59"/>
      <c r="HO19" s="60"/>
      <c r="HP19" s="61"/>
      <c r="HQ19" s="62"/>
      <c r="HU19" s="59"/>
      <c r="HW19" s="60"/>
      <c r="HX19" s="61"/>
      <c r="HY19" s="62"/>
      <c r="IC19" s="59"/>
      <c r="IE19" s="60"/>
      <c r="IF19" s="61"/>
      <c r="IG19" s="62"/>
      <c r="IK19" s="59"/>
      <c r="IM19" s="60"/>
      <c r="IN19" s="61"/>
      <c r="IO19" s="62"/>
      <c r="IS19" s="59"/>
      <c r="IU19" s="60"/>
    </row>
    <row r="20" spans="1:253" s="11" customFormat="1" ht="20.25">
      <c r="A20" s="63"/>
      <c r="B20" s="64"/>
      <c r="C20" s="64"/>
      <c r="D20" s="52"/>
      <c r="E20" s="53"/>
      <c r="F20" s="10"/>
      <c r="G20" s="10"/>
      <c r="I20" s="65"/>
      <c r="Q20" s="65"/>
      <c r="AC20" s="65"/>
      <c r="AK20" s="65"/>
      <c r="AS20" s="65"/>
      <c r="BA20" s="65"/>
      <c r="BI20" s="65"/>
      <c r="BQ20" s="65"/>
      <c r="BY20" s="65"/>
      <c r="CG20" s="65"/>
      <c r="CO20" s="65"/>
      <c r="CW20" s="65"/>
      <c r="DE20" s="65"/>
      <c r="DM20" s="65"/>
      <c r="DU20" s="65"/>
      <c r="EC20" s="65"/>
      <c r="EK20" s="65"/>
      <c r="ES20" s="65"/>
      <c r="FA20" s="65"/>
      <c r="FI20" s="65"/>
      <c r="FQ20" s="65"/>
      <c r="FY20" s="65"/>
      <c r="GG20" s="65"/>
      <c r="GO20" s="65"/>
      <c r="GW20" s="65"/>
      <c r="HE20" s="65"/>
      <c r="HM20" s="65"/>
      <c r="HU20" s="65"/>
      <c r="IC20" s="65"/>
      <c r="IK20" s="65"/>
      <c r="IS20" s="65"/>
    </row>
    <row r="21" spans="1:253" s="11" customFormat="1" ht="15">
      <c r="A21" s="66"/>
      <c r="B21" s="67"/>
      <c r="C21" s="67"/>
      <c r="D21" s="67"/>
      <c r="E21" s="67"/>
      <c r="F21" s="67"/>
      <c r="G21" s="67"/>
      <c r="I21" s="68"/>
      <c r="Q21" s="68"/>
      <c r="AC21" s="68"/>
      <c r="AK21" s="68"/>
      <c r="AS21" s="68"/>
      <c r="BA21" s="68"/>
      <c r="BI21" s="68"/>
      <c r="BQ21" s="68"/>
      <c r="BY21" s="68"/>
      <c r="CG21" s="68"/>
      <c r="CO21" s="68"/>
      <c r="CW21" s="68"/>
      <c r="DE21" s="68"/>
      <c r="DM21" s="68"/>
      <c r="DU21" s="68"/>
      <c r="EC21" s="68"/>
      <c r="EK21" s="68"/>
      <c r="ES21" s="68"/>
      <c r="FA21" s="68"/>
      <c r="FI21" s="68"/>
      <c r="FQ21" s="68"/>
      <c r="FY21" s="68"/>
      <c r="GG21" s="68"/>
      <c r="GO21" s="68"/>
      <c r="GW21" s="68"/>
      <c r="HE21" s="68"/>
      <c r="HM21" s="68"/>
      <c r="HU21" s="68"/>
      <c r="IC21" s="68"/>
      <c r="IK21" s="68"/>
      <c r="IS21" s="68"/>
    </row>
    <row r="22" spans="1:7" s="11" customFormat="1" ht="15">
      <c r="A22" s="69" t="s">
        <v>6</v>
      </c>
      <c r="B22" s="67"/>
      <c r="C22" s="67"/>
      <c r="D22" s="67"/>
      <c r="E22" s="67"/>
      <c r="F22" s="67"/>
      <c r="G22" s="67"/>
    </row>
    <row r="23" spans="1:7" s="11" customFormat="1" ht="14.25">
      <c r="A23" s="69"/>
      <c r="B23" s="67"/>
      <c r="C23" s="67"/>
      <c r="D23" s="67"/>
      <c r="E23" s="67"/>
      <c r="F23" s="67"/>
      <c r="G23" s="67"/>
    </row>
    <row r="24" spans="1:7" s="11" customFormat="1" ht="15">
      <c r="A24" s="69" t="s">
        <v>7</v>
      </c>
      <c r="B24" s="67"/>
      <c r="C24" s="67"/>
      <c r="D24" s="67"/>
      <c r="E24" s="67"/>
      <c r="F24" s="67"/>
      <c r="G24" s="67"/>
    </row>
    <row r="25" spans="1:7" s="11" customFormat="1" ht="14.25">
      <c r="A25" s="69"/>
      <c r="B25" s="67"/>
      <c r="C25" s="67"/>
      <c r="D25" s="67"/>
      <c r="E25" s="67"/>
      <c r="F25" s="67"/>
      <c r="G25" s="67"/>
    </row>
    <row r="26" spans="1:7" s="11" customFormat="1" ht="14.25">
      <c r="A26" s="69" t="s">
        <v>343</v>
      </c>
      <c r="B26" s="67"/>
      <c r="C26" s="67"/>
      <c r="D26" s="67"/>
      <c r="E26" s="67"/>
      <c r="F26" s="67"/>
      <c r="G26" s="67"/>
    </row>
    <row r="27" spans="1:7" s="11" customFormat="1" ht="14.25">
      <c r="A27" s="69" t="s">
        <v>342</v>
      </c>
      <c r="B27" s="67"/>
      <c r="C27" s="67"/>
      <c r="D27" s="67"/>
      <c r="E27" s="67"/>
      <c r="F27" s="67"/>
      <c r="G27" s="67"/>
    </row>
    <row r="28" spans="1:7" s="11" customFormat="1" ht="14.25">
      <c r="A28" s="69"/>
      <c r="B28" s="67"/>
      <c r="C28" s="67"/>
      <c r="D28" s="67"/>
      <c r="E28" s="67"/>
      <c r="F28" s="67"/>
      <c r="G28" s="67"/>
    </row>
    <row r="29" spans="1:7" s="11" customFormat="1" ht="14.25">
      <c r="A29" s="69" t="s">
        <v>327</v>
      </c>
      <c r="B29" s="67"/>
      <c r="C29" s="67"/>
      <c r="D29" s="67"/>
      <c r="E29" s="67"/>
      <c r="F29" s="67"/>
      <c r="G29" s="67"/>
    </row>
    <row r="30" spans="1:7" s="11" customFormat="1" ht="14.25">
      <c r="A30" s="69" t="s">
        <v>328</v>
      </c>
      <c r="B30" s="67"/>
      <c r="C30" s="67"/>
      <c r="D30" s="67"/>
      <c r="E30" s="67"/>
      <c r="F30" s="67"/>
      <c r="G30" s="67"/>
    </row>
    <row r="31" spans="1:7" s="11" customFormat="1" ht="14.25">
      <c r="A31" s="69"/>
      <c r="B31" s="67"/>
      <c r="C31" s="67"/>
      <c r="D31" s="67"/>
      <c r="E31" s="67"/>
      <c r="F31" s="67"/>
      <c r="G31" s="67"/>
    </row>
    <row r="32" spans="1:7" s="11" customFormat="1" ht="14.25">
      <c r="A32" s="69" t="s">
        <v>329</v>
      </c>
      <c r="B32" s="67"/>
      <c r="C32" s="67"/>
      <c r="D32" s="67"/>
      <c r="E32" s="67"/>
      <c r="F32" s="67"/>
      <c r="G32" s="67"/>
    </row>
    <row r="33" spans="1:7" s="11" customFormat="1" ht="14.25">
      <c r="A33" s="69" t="s">
        <v>330</v>
      </c>
      <c r="B33" s="67"/>
      <c r="C33" s="67"/>
      <c r="D33" s="67"/>
      <c r="E33" s="67"/>
      <c r="F33" s="67"/>
      <c r="G33" s="67"/>
    </row>
    <row r="34" spans="1:7" s="11" customFormat="1" ht="14.25">
      <c r="A34" s="69" t="s">
        <v>331</v>
      </c>
      <c r="B34" s="67"/>
      <c r="C34" s="67"/>
      <c r="D34" s="67"/>
      <c r="F34" s="67"/>
      <c r="G34" s="67"/>
    </row>
    <row r="35" spans="1:7" s="11" customFormat="1" ht="15.75">
      <c r="A35" s="69"/>
      <c r="B35" s="70" t="s">
        <v>332</v>
      </c>
      <c r="C35" s="67"/>
      <c r="D35" s="67"/>
      <c r="E35" s="70"/>
      <c r="F35" s="67"/>
      <c r="G35" s="67"/>
    </row>
    <row r="36" spans="1:7" s="11" customFormat="1" ht="15.75">
      <c r="A36" s="69"/>
      <c r="B36" s="70"/>
      <c r="C36" s="67"/>
      <c r="D36" s="67"/>
      <c r="E36" s="70"/>
      <c r="F36" s="67"/>
      <c r="G36" s="67"/>
    </row>
    <row r="37" spans="1:7" s="11" customFormat="1" ht="15.75">
      <c r="A37" s="69" t="s">
        <v>334</v>
      </c>
      <c r="B37" s="70"/>
      <c r="C37" s="67"/>
      <c r="D37" s="67"/>
      <c r="E37" s="70"/>
      <c r="F37" s="67"/>
      <c r="G37" s="67"/>
    </row>
    <row r="38" spans="1:7" s="11" customFormat="1" ht="15.75">
      <c r="A38" s="69"/>
      <c r="B38" s="70"/>
      <c r="C38" s="67"/>
      <c r="D38" s="67"/>
      <c r="E38" s="70"/>
      <c r="F38" s="67"/>
      <c r="G38" s="67"/>
    </row>
    <row r="39" spans="1:7" s="11" customFormat="1" ht="16.5" thickBot="1">
      <c r="A39" s="69"/>
      <c r="B39" s="70"/>
      <c r="C39" s="67"/>
      <c r="D39" s="67"/>
      <c r="E39" s="70"/>
      <c r="F39" s="67"/>
      <c r="G39" s="67"/>
    </row>
    <row r="40" spans="1:7" s="11" customFormat="1" ht="16.5" thickBot="1">
      <c r="A40" s="296"/>
      <c r="B40" s="297"/>
      <c r="C40" s="298"/>
      <c r="D40" s="299"/>
      <c r="E40" s="70"/>
      <c r="F40" s="67"/>
      <c r="G40" s="67"/>
    </row>
    <row r="41" spans="1:6" s="11" customFormat="1" ht="15.75">
      <c r="A41" s="69"/>
      <c r="B41" s="70"/>
      <c r="C41" s="67"/>
      <c r="D41" s="67"/>
      <c r="E41" s="70"/>
      <c r="F41" s="67"/>
    </row>
    <row r="42" spans="1:7" s="11" customFormat="1" ht="15.75">
      <c r="A42" s="365"/>
      <c r="B42" s="70"/>
      <c r="C42" s="67"/>
      <c r="D42" s="67"/>
      <c r="E42" s="70"/>
      <c r="F42" s="67"/>
      <c r="G42" s="67"/>
    </row>
    <row r="43" spans="1:7" s="11" customFormat="1" ht="14.25">
      <c r="A43" s="69" t="s">
        <v>8</v>
      </c>
      <c r="B43" s="67"/>
      <c r="C43" s="67"/>
      <c r="D43" s="67"/>
      <c r="E43" s="67"/>
      <c r="F43" s="67"/>
      <c r="G43" s="67"/>
    </row>
    <row r="44" spans="1:7" s="11" customFormat="1" ht="14.25">
      <c r="A44" s="69" t="s">
        <v>9</v>
      </c>
      <c r="B44" s="67"/>
      <c r="C44" s="67"/>
      <c r="D44" s="67"/>
      <c r="E44" s="67"/>
      <c r="F44" s="67"/>
      <c r="G44" s="67"/>
    </row>
    <row r="45" spans="1:7" s="11" customFormat="1" ht="14.25">
      <c r="A45" s="69" t="s">
        <v>10</v>
      </c>
      <c r="B45" s="67"/>
      <c r="C45" s="67"/>
      <c r="D45" s="67"/>
      <c r="E45" s="67"/>
      <c r="F45" s="67"/>
      <c r="G45" s="67"/>
    </row>
    <row r="46" spans="1:7" s="11" customFormat="1" ht="14.25">
      <c r="A46" s="69"/>
      <c r="B46" s="67"/>
      <c r="C46" s="67"/>
      <c r="D46" s="67"/>
      <c r="E46" s="67"/>
      <c r="F46" s="67"/>
      <c r="G46" s="67"/>
    </row>
    <row r="47" spans="1:7" s="11" customFormat="1" ht="14.25">
      <c r="A47" s="69"/>
      <c r="B47" s="67"/>
      <c r="C47" s="67"/>
      <c r="D47" s="67"/>
      <c r="E47" s="67"/>
      <c r="F47" s="67"/>
      <c r="G47" s="67"/>
    </row>
    <row r="48" spans="1:7" s="11" customFormat="1" ht="15">
      <c r="A48" s="66" t="s">
        <v>378</v>
      </c>
      <c r="B48" s="67"/>
      <c r="C48" s="67"/>
      <c r="D48" s="67"/>
      <c r="E48" s="67"/>
      <c r="F48" s="67"/>
      <c r="G48" s="67"/>
    </row>
    <row r="49" spans="1:7" s="11" customFormat="1" ht="14.25">
      <c r="A49" s="69"/>
      <c r="B49" s="67"/>
      <c r="C49" s="67"/>
      <c r="D49" s="67"/>
      <c r="E49" s="67"/>
      <c r="F49" s="67"/>
      <c r="G49" s="67"/>
    </row>
    <row r="50" spans="1:7" s="11" customFormat="1" ht="14.25">
      <c r="A50" s="69" t="s">
        <v>402</v>
      </c>
      <c r="B50" s="67"/>
      <c r="C50" s="67"/>
      <c r="D50" s="67"/>
      <c r="E50" s="67"/>
      <c r="F50" s="67"/>
      <c r="G50" s="67"/>
    </row>
    <row r="51" spans="1:7" s="11" customFormat="1" ht="14.25">
      <c r="A51" s="69"/>
      <c r="B51" s="67"/>
      <c r="C51" s="67"/>
      <c r="D51" s="67"/>
      <c r="E51" s="67"/>
      <c r="F51" s="67"/>
      <c r="G51" s="67"/>
    </row>
    <row r="52" spans="1:7" s="11" customFormat="1" ht="18">
      <c r="A52" s="555" t="s">
        <v>484</v>
      </c>
      <c r="B52" s="67"/>
      <c r="C52" s="67"/>
      <c r="D52" s="67"/>
      <c r="E52" s="67"/>
      <c r="F52" s="67"/>
      <c r="G52" s="67"/>
    </row>
    <row r="53" s="11" customFormat="1" ht="12.75"/>
    <row r="54" s="11" customFormat="1" ht="12.75" hidden="1"/>
    <row r="55" spans="1:193" s="11" customFormat="1" ht="12.75" hidden="1">
      <c r="A55" s="72"/>
      <c r="E55" s="71"/>
      <c r="I55" s="72"/>
      <c r="M55" s="71"/>
      <c r="Q55" s="72"/>
      <c r="U55" s="71"/>
      <c r="Y55" s="72"/>
      <c r="AC55" s="71"/>
      <c r="AG55" s="72"/>
      <c r="AK55" s="71"/>
      <c r="AO55" s="72"/>
      <c r="AS55" s="71"/>
      <c r="AW55" s="72"/>
      <c r="BA55" s="71"/>
      <c r="BE55" s="72"/>
      <c r="BI55" s="71"/>
      <c r="BM55" s="72"/>
      <c r="BQ55" s="71"/>
      <c r="BU55" s="72"/>
      <c r="BY55" s="71"/>
      <c r="CC55" s="72"/>
      <c r="CG55" s="71"/>
      <c r="CK55" s="72"/>
      <c r="CO55" s="71"/>
      <c r="CS55" s="72"/>
      <c r="CW55" s="71"/>
      <c r="DA55" s="72"/>
      <c r="DE55" s="71"/>
      <c r="DI55" s="72"/>
      <c r="DM55" s="71"/>
      <c r="DQ55" s="72"/>
      <c r="DU55" s="71"/>
      <c r="DY55" s="72"/>
      <c r="EC55" s="71"/>
      <c r="EG55" s="72"/>
      <c r="EK55" s="71"/>
      <c r="EO55" s="72"/>
      <c r="ES55" s="71"/>
      <c r="EW55" s="72"/>
      <c r="FA55" s="71"/>
      <c r="FE55" s="72"/>
      <c r="FI55" s="71"/>
      <c r="FM55" s="72"/>
      <c r="FQ55" s="71"/>
      <c r="FU55" s="72"/>
      <c r="FY55" s="71"/>
      <c r="GC55" s="72"/>
      <c r="GG55" s="71"/>
      <c r="GK55" s="72"/>
    </row>
    <row r="56" ht="12.75" hidden="1"/>
    <row r="57" ht="12.75" hidden="1">
      <c r="F57" s="10" t="e">
        <f>indicemar14</f>
        <v>#NAME?</v>
      </c>
    </row>
    <row r="58" ht="12.75" hidden="1"/>
    <row r="59" ht="12.75" hidden="1"/>
    <row r="60" ht="12.75" hidden="1"/>
    <row r="61" ht="12.75" hidden="1"/>
    <row r="62" ht="12.75" hidden="1"/>
    <row r="63" spans="1:10" ht="12.75" hidden="1">
      <c r="A63" s="494"/>
      <c r="B63" s="492" t="s">
        <v>417</v>
      </c>
      <c r="C63" s="493">
        <v>2.4854</v>
      </c>
      <c r="D63" s="494"/>
      <c r="E63" s="492" t="s">
        <v>428</v>
      </c>
      <c r="F63" s="493">
        <v>3.0073</v>
      </c>
      <c r="G63" s="494">
        <f>indicemar15/indiceago14</f>
        <v>1.2099863201094392</v>
      </c>
      <c r="H63" s="492" t="s">
        <v>481</v>
      </c>
      <c r="I63" s="493">
        <v>3.278</v>
      </c>
      <c r="J63" s="494">
        <f>indicejul15/indicemar15</f>
        <v>1.0900142985402188</v>
      </c>
    </row>
    <row r="64" ht="12.75" hidden="1"/>
    <row r="65" ht="12.75" hidden="1"/>
    <row r="66" spans="1:10" ht="12.75" hidden="1">
      <c r="A66" s="494"/>
      <c r="B66" s="492" t="s">
        <v>418</v>
      </c>
      <c r="C66" s="493">
        <v>4.104</v>
      </c>
      <c r="D66" s="494"/>
      <c r="E66" s="492" t="s">
        <v>429</v>
      </c>
      <c r="F66" s="493">
        <v>5.048</v>
      </c>
      <c r="G66" s="494">
        <f>indiceproljormar15/indiceproljorago14</f>
        <v>1.2300194931773878</v>
      </c>
      <c r="H66" s="492" t="s">
        <v>482</v>
      </c>
      <c r="I66" s="493">
        <v>5.664</v>
      </c>
      <c r="J66" s="494">
        <f>indiceproljorjul15/indiceproljormar15</f>
        <v>1.1220285261489698</v>
      </c>
    </row>
    <row r="67" ht="12.75" hidden="1"/>
    <row r="68" ht="12.75" hidden="1"/>
    <row r="69" spans="2:9" ht="12.75" hidden="1">
      <c r="B69" s="382" t="s">
        <v>419</v>
      </c>
      <c r="C69" s="10">
        <f>LOOKUP(porcantigcargo,porant,cod06cargosago14)</f>
        <v>2311.9439</v>
      </c>
      <c r="E69" s="382" t="s">
        <v>430</v>
      </c>
      <c r="F69" s="10">
        <f>LOOKUP(porcantigcargo,porant,cod06cargosmar15)</f>
        <v>2997.471558</v>
      </c>
      <c r="H69" s="382" t="s">
        <v>431</v>
      </c>
      <c r="I69" s="10">
        <f>LOOKUP(porcantigcargo,porant,cod06cargosago15)</f>
        <v>3327.1934293800005</v>
      </c>
    </row>
    <row r="70" ht="12.75" hidden="1"/>
    <row r="71" ht="12.75" hidden="1">
      <c r="J71" s="10">
        <f>1.16*1.07</f>
        <v>1.2412</v>
      </c>
    </row>
    <row r="72" spans="1:2" ht="15.75" hidden="1">
      <c r="A72" s="11"/>
      <c r="B72" s="173"/>
    </row>
    <row r="73" spans="1:2" ht="15.75" hidden="1">
      <c r="A73" s="11"/>
      <c r="B73" s="173"/>
    </row>
    <row r="74" spans="1:26" ht="15.75" hidden="1">
      <c r="A74" s="129"/>
      <c r="B74" s="130"/>
      <c r="C74" s="131"/>
      <c r="D74" s="361"/>
      <c r="E74" s="131"/>
      <c r="F74" s="131"/>
      <c r="G74" s="130"/>
      <c r="H74" s="131"/>
      <c r="I74" s="2"/>
      <c r="J74" s="2"/>
      <c r="K74" s="2"/>
      <c r="Y74" s="11"/>
      <c r="Z74" s="173"/>
    </row>
    <row r="75" spans="1:26" ht="15.75" hidden="1">
      <c r="A75" s="129"/>
      <c r="B75" s="130"/>
      <c r="C75" s="131"/>
      <c r="D75" s="361"/>
      <c r="E75" s="131"/>
      <c r="F75" s="131"/>
      <c r="G75" s="130"/>
      <c r="H75" s="131"/>
      <c r="I75" s="2"/>
      <c r="J75" s="2"/>
      <c r="K75" s="2"/>
      <c r="Y75" s="11"/>
      <c r="Z75" s="173"/>
    </row>
    <row r="76" spans="1:26" ht="15.75" hidden="1">
      <c r="A76" s="129"/>
      <c r="B76" s="130"/>
      <c r="C76" s="131"/>
      <c r="D76" s="361"/>
      <c r="E76" s="131"/>
      <c r="F76" s="131"/>
      <c r="G76" s="130"/>
      <c r="H76" s="131"/>
      <c r="I76" s="2"/>
      <c r="J76" s="2"/>
      <c r="K76" s="2"/>
      <c r="Y76" s="11"/>
      <c r="Z76" s="173"/>
    </row>
    <row r="77" spans="1:26" ht="15.75" hidden="1">
      <c r="A77" s="129"/>
      <c r="B77" s="130"/>
      <c r="C77" s="131"/>
      <c r="D77" s="361"/>
      <c r="E77" s="131"/>
      <c r="F77" s="131"/>
      <c r="G77" s="130"/>
      <c r="H77" s="131"/>
      <c r="I77" s="2"/>
      <c r="J77" s="2"/>
      <c r="K77" s="2"/>
      <c r="Y77" s="11"/>
      <c r="Z77" s="173"/>
    </row>
    <row r="78" spans="1:26" ht="21" hidden="1" thickBot="1">
      <c r="A78" s="129"/>
      <c r="B78" s="130"/>
      <c r="C78" s="131"/>
      <c r="D78" s="361"/>
      <c r="E78" s="131"/>
      <c r="F78" s="512">
        <v>41852</v>
      </c>
      <c r="G78" s="130"/>
      <c r="H78" s="131"/>
      <c r="I78" s="2"/>
      <c r="J78" s="2"/>
      <c r="K78" s="2"/>
      <c r="Y78" s="11"/>
      <c r="Z78" s="173"/>
    </row>
    <row r="79" spans="1:26" ht="17.25" hidden="1" thickBot="1" thickTop="1">
      <c r="A79" s="129"/>
      <c r="B79" s="130"/>
      <c r="C79" s="448" t="s">
        <v>354</v>
      </c>
      <c r="D79" s="17" t="s">
        <v>356</v>
      </c>
      <c r="E79" s="17" t="s">
        <v>357</v>
      </c>
      <c r="F79" s="449" t="s">
        <v>358</v>
      </c>
      <c r="G79" s="450" t="s">
        <v>359</v>
      </c>
      <c r="H79" s="449" t="s">
        <v>360</v>
      </c>
      <c r="I79" s="449" t="s">
        <v>361</v>
      </c>
      <c r="J79" s="449" t="s">
        <v>362</v>
      </c>
      <c r="K79" s="449" t="s">
        <v>363</v>
      </c>
      <c r="L79" s="126" t="s">
        <v>364</v>
      </c>
      <c r="M79" s="126">
        <v>1</v>
      </c>
      <c r="N79" s="126">
        <v>2</v>
      </c>
      <c r="O79" s="126">
        <v>3</v>
      </c>
      <c r="P79" s="126">
        <v>4</v>
      </c>
      <c r="Q79" s="126">
        <v>5</v>
      </c>
      <c r="Y79" s="11"/>
      <c r="Z79" s="173"/>
    </row>
    <row r="80" spans="1:26" ht="15.75" hidden="1">
      <c r="A80" s="129"/>
      <c r="B80" s="187">
        <v>0</v>
      </c>
      <c r="C80" s="452">
        <f aca="true" t="shared" si="0" ref="C80:C91">IF(puntosproljor&lt;620,Q80,L80)</f>
        <v>958.17885</v>
      </c>
      <c r="D80" s="491">
        <v>958.17885</v>
      </c>
      <c r="E80" s="491">
        <v>258.31575999999995</v>
      </c>
      <c r="F80" s="491">
        <v>0</v>
      </c>
      <c r="G80" s="491">
        <v>0</v>
      </c>
      <c r="H80" s="491">
        <v>0</v>
      </c>
      <c r="I80" s="491">
        <v>0</v>
      </c>
      <c r="J80" s="491">
        <v>433.04262</v>
      </c>
      <c r="K80" s="491">
        <v>258.31575999999995</v>
      </c>
      <c r="L80" s="451">
        <f aca="true" t="shared" si="1" ref="L80:L91">IF(PUNTOSbasicos&gt;971,K80,J80)</f>
        <v>433.04262</v>
      </c>
      <c r="M80" s="127">
        <f aca="true" t="shared" si="2" ref="M80:M91">IF(PUNTOSbasicos&lt;972,D80,E80)</f>
        <v>958.17885</v>
      </c>
      <c r="N80" s="127">
        <f aca="true" t="shared" si="3" ref="N80:N91">IF(PUNTOSbasicos&lt;1170,M80,F80)</f>
        <v>958.17885</v>
      </c>
      <c r="O80" s="127">
        <f aca="true" t="shared" si="4" ref="O80:O91">IF(PUNTOSbasicos&lt;1401,N80,G80)</f>
        <v>958.17885</v>
      </c>
      <c r="P80" s="127">
        <f aca="true" t="shared" si="5" ref="P80:P91">IF(PUNTOSbasicos&lt;1943,O80,H80)</f>
        <v>958.17885</v>
      </c>
      <c r="Q80" s="127">
        <f aca="true" t="shared" si="6" ref="Q80:Q91">IF(PUNTOSbasicos&lt;=2220,P80,I80)</f>
        <v>958.17885</v>
      </c>
      <c r="Y80" s="11"/>
      <c r="Z80" s="173"/>
    </row>
    <row r="81" spans="1:26" ht="15.75" hidden="1">
      <c r="A81" s="129"/>
      <c r="B81" s="188">
        <v>0.1</v>
      </c>
      <c r="C81" s="452">
        <f t="shared" si="0"/>
        <v>1382.9405499999998</v>
      </c>
      <c r="D81" s="491">
        <v>1382.9405499999998</v>
      </c>
      <c r="E81" s="491">
        <v>291.29224</v>
      </c>
      <c r="F81" s="491">
        <v>0</v>
      </c>
      <c r="G81" s="491">
        <v>0</v>
      </c>
      <c r="H81" s="491">
        <v>0</v>
      </c>
      <c r="I81" s="491">
        <v>0</v>
      </c>
      <c r="J81" s="491">
        <v>466.30337999999995</v>
      </c>
      <c r="K81" s="491">
        <v>291.29224</v>
      </c>
      <c r="L81" s="451">
        <f t="shared" si="1"/>
        <v>466.30337999999995</v>
      </c>
      <c r="M81" s="127">
        <f t="shared" si="2"/>
        <v>1382.9405499999998</v>
      </c>
      <c r="N81" s="127">
        <f t="shared" si="3"/>
        <v>1382.9405499999998</v>
      </c>
      <c r="O81" s="127">
        <f t="shared" si="4"/>
        <v>1382.9405499999998</v>
      </c>
      <c r="P81" s="127">
        <f t="shared" si="5"/>
        <v>1382.9405499999998</v>
      </c>
      <c r="Q81" s="127">
        <f t="shared" si="6"/>
        <v>1382.9405499999998</v>
      </c>
      <c r="Y81" s="11"/>
      <c r="Z81" s="173"/>
    </row>
    <row r="82" spans="1:26" ht="15.75" hidden="1">
      <c r="A82" s="129"/>
      <c r="B82" s="189">
        <v>0.15</v>
      </c>
      <c r="C82" s="452">
        <f t="shared" si="0"/>
        <v>1648.74235</v>
      </c>
      <c r="D82" s="491">
        <v>1648.74235</v>
      </c>
      <c r="E82" s="491">
        <v>583.9585</v>
      </c>
      <c r="F82" s="491">
        <v>777.6953199999999</v>
      </c>
      <c r="G82" s="491">
        <v>623.8050799999999</v>
      </c>
      <c r="H82" s="491">
        <v>583.9585</v>
      </c>
      <c r="I82" s="491">
        <v>0</v>
      </c>
      <c r="J82" s="491">
        <v>890.3780699999999</v>
      </c>
      <c r="K82" s="491">
        <v>711.7423599999998</v>
      </c>
      <c r="L82" s="451">
        <f t="shared" si="1"/>
        <v>890.3780699999999</v>
      </c>
      <c r="M82" s="127">
        <f t="shared" si="2"/>
        <v>1648.74235</v>
      </c>
      <c r="N82" s="127">
        <f t="shared" si="3"/>
        <v>1648.74235</v>
      </c>
      <c r="O82" s="127">
        <f t="shared" si="4"/>
        <v>1648.74235</v>
      </c>
      <c r="P82" s="127">
        <f t="shared" si="5"/>
        <v>1648.74235</v>
      </c>
      <c r="Q82" s="127">
        <f t="shared" si="6"/>
        <v>1648.74235</v>
      </c>
      <c r="Y82" s="11"/>
      <c r="Z82" s="173"/>
    </row>
    <row r="83" spans="1:26" ht="15.75" hidden="1">
      <c r="A83" s="129"/>
      <c r="B83" s="189">
        <v>0.3</v>
      </c>
      <c r="C83" s="452">
        <f t="shared" si="0"/>
        <v>1759.4931000000001</v>
      </c>
      <c r="D83" s="491">
        <v>1759.4931000000001</v>
      </c>
      <c r="E83" s="491">
        <v>630.67518</v>
      </c>
      <c r="F83" s="491">
        <v>777.6953199999999</v>
      </c>
      <c r="G83" s="491">
        <v>623.8050799999999</v>
      </c>
      <c r="H83" s="491">
        <v>583.9585</v>
      </c>
      <c r="I83" s="491">
        <v>0</v>
      </c>
      <c r="J83" s="491">
        <v>1414.2350399999998</v>
      </c>
      <c r="K83" s="491">
        <v>1133.5665</v>
      </c>
      <c r="L83" s="451">
        <f t="shared" si="1"/>
        <v>1414.2350399999998</v>
      </c>
      <c r="M83" s="127">
        <f t="shared" si="2"/>
        <v>1759.4931000000001</v>
      </c>
      <c r="N83" s="127">
        <f t="shared" si="3"/>
        <v>1759.4931000000001</v>
      </c>
      <c r="O83" s="127">
        <f t="shared" si="4"/>
        <v>1759.4931000000001</v>
      </c>
      <c r="P83" s="127">
        <f t="shared" si="5"/>
        <v>1759.4931000000001</v>
      </c>
      <c r="Q83" s="127">
        <f t="shared" si="6"/>
        <v>1759.4931000000001</v>
      </c>
      <c r="Y83" s="11"/>
      <c r="Z83" s="173"/>
    </row>
    <row r="84" spans="1:26" ht="15.75" hidden="1">
      <c r="A84" s="129"/>
      <c r="B84" s="189">
        <v>0.4</v>
      </c>
      <c r="C84" s="452">
        <f t="shared" si="0"/>
        <v>1580.98895</v>
      </c>
      <c r="D84" s="491">
        <v>1580.98895</v>
      </c>
      <c r="E84" s="491">
        <v>680.1398999999999</v>
      </c>
      <c r="F84" s="491">
        <v>810.6718</v>
      </c>
      <c r="G84" s="491">
        <v>646.9899999999999</v>
      </c>
      <c r="H84" s="491">
        <v>583.9585</v>
      </c>
      <c r="I84" s="491">
        <v>453.42659999999995</v>
      </c>
      <c r="J84" s="491">
        <v>1611.02787</v>
      </c>
      <c r="K84" s="491">
        <v>1295.70086</v>
      </c>
      <c r="L84" s="451">
        <f t="shared" si="1"/>
        <v>1611.02787</v>
      </c>
      <c r="M84" s="127">
        <f t="shared" si="2"/>
        <v>1580.98895</v>
      </c>
      <c r="N84" s="127">
        <f t="shared" si="3"/>
        <v>1580.98895</v>
      </c>
      <c r="O84" s="127">
        <f t="shared" si="4"/>
        <v>1580.98895</v>
      </c>
      <c r="P84" s="127">
        <f t="shared" si="5"/>
        <v>1580.98895</v>
      </c>
      <c r="Q84" s="127">
        <f t="shared" si="6"/>
        <v>1580.98895</v>
      </c>
      <c r="Y84" s="11"/>
      <c r="Z84" s="173"/>
    </row>
    <row r="85" spans="1:26" ht="15.75" hidden="1">
      <c r="A85" s="129"/>
      <c r="B85" s="189">
        <v>0.5</v>
      </c>
      <c r="C85" s="452">
        <f t="shared" si="0"/>
        <v>1368.6081000000001</v>
      </c>
      <c r="D85" s="491">
        <v>1368.6081000000001</v>
      </c>
      <c r="E85" s="491">
        <v>746.0928599999999</v>
      </c>
      <c r="F85" s="491">
        <v>810.6718</v>
      </c>
      <c r="G85" s="491">
        <v>647.1634199999999</v>
      </c>
      <c r="H85" s="491">
        <v>583.9585</v>
      </c>
      <c r="I85" s="491">
        <v>453.42659999999995</v>
      </c>
      <c r="J85" s="491">
        <v>1724.6688</v>
      </c>
      <c r="K85" s="491">
        <v>1408.3704999999998</v>
      </c>
      <c r="L85" s="451">
        <f t="shared" si="1"/>
        <v>1724.6688</v>
      </c>
      <c r="M85" s="127">
        <f t="shared" si="2"/>
        <v>1368.6081000000001</v>
      </c>
      <c r="N85" s="127">
        <f t="shared" si="3"/>
        <v>1368.6081000000001</v>
      </c>
      <c r="O85" s="127">
        <f t="shared" si="4"/>
        <v>1368.6081000000001</v>
      </c>
      <c r="P85" s="127">
        <f t="shared" si="5"/>
        <v>1368.6081000000001</v>
      </c>
      <c r="Q85" s="127">
        <f t="shared" si="6"/>
        <v>1368.6081000000001</v>
      </c>
      <c r="Y85" s="11"/>
      <c r="Z85" s="173"/>
    </row>
    <row r="86" spans="1:26" ht="15.75" hidden="1">
      <c r="A86" s="129"/>
      <c r="B86" s="189">
        <v>0.6</v>
      </c>
      <c r="C86" s="452">
        <f t="shared" si="0"/>
        <v>1376.4258</v>
      </c>
      <c r="D86" s="491">
        <v>1376.4258</v>
      </c>
      <c r="E86" s="491">
        <v>704.8722599999999</v>
      </c>
      <c r="F86" s="491">
        <v>842.2742599999999</v>
      </c>
      <c r="G86" s="491">
        <v>658.1555799999999</v>
      </c>
      <c r="H86" s="491">
        <v>615.5609599999999</v>
      </c>
      <c r="I86" s="491">
        <v>518.00554</v>
      </c>
      <c r="J86" s="491">
        <v>1839.695595</v>
      </c>
      <c r="K86" s="491">
        <v>1457.8352199999997</v>
      </c>
      <c r="L86" s="451">
        <f t="shared" si="1"/>
        <v>1839.695595</v>
      </c>
      <c r="M86" s="127">
        <f t="shared" si="2"/>
        <v>1376.4258</v>
      </c>
      <c r="N86" s="127">
        <f t="shared" si="3"/>
        <v>1376.4258</v>
      </c>
      <c r="O86" s="127">
        <f t="shared" si="4"/>
        <v>1376.4258</v>
      </c>
      <c r="P86" s="127">
        <f t="shared" si="5"/>
        <v>1376.4258</v>
      </c>
      <c r="Q86" s="127">
        <f t="shared" si="6"/>
        <v>1376.4258</v>
      </c>
      <c r="Y86" s="11"/>
      <c r="Z86" s="173"/>
    </row>
    <row r="87" spans="1:26" ht="15.75" hidden="1">
      <c r="A87" s="129"/>
      <c r="B87" s="189">
        <v>0.7</v>
      </c>
      <c r="C87" s="452">
        <f t="shared" si="0"/>
        <v>1312.58125</v>
      </c>
      <c r="D87" s="491">
        <v>1312.58125</v>
      </c>
      <c r="E87" s="491">
        <v>923.3414399999998</v>
      </c>
      <c r="F87" s="491">
        <v>1181.6571999999999</v>
      </c>
      <c r="G87" s="491">
        <v>746.0928599999999</v>
      </c>
      <c r="H87" s="491">
        <v>615.5609599999999</v>
      </c>
      <c r="I87" s="491">
        <v>518.00554</v>
      </c>
      <c r="J87" s="491">
        <v>1888.20087</v>
      </c>
      <c r="K87" s="491">
        <v>1507.2999399999999</v>
      </c>
      <c r="L87" s="451">
        <f t="shared" si="1"/>
        <v>1888.20087</v>
      </c>
      <c r="M87" s="127">
        <f t="shared" si="2"/>
        <v>1312.58125</v>
      </c>
      <c r="N87" s="127">
        <f t="shared" si="3"/>
        <v>1312.58125</v>
      </c>
      <c r="O87" s="127">
        <f t="shared" si="4"/>
        <v>1312.58125</v>
      </c>
      <c r="P87" s="127">
        <f t="shared" si="5"/>
        <v>1312.58125</v>
      </c>
      <c r="Q87" s="127">
        <f t="shared" si="6"/>
        <v>1312.58125</v>
      </c>
      <c r="Y87" s="11"/>
      <c r="Z87" s="173"/>
    </row>
    <row r="88" spans="1:26" ht="15.75" hidden="1">
      <c r="A88" s="129"/>
      <c r="B88" s="189">
        <v>0.8</v>
      </c>
      <c r="C88" s="452">
        <f t="shared" si="0"/>
        <v>1590.1096</v>
      </c>
      <c r="D88" s="491">
        <v>1590.1096</v>
      </c>
      <c r="E88" s="491">
        <v>1118.45228</v>
      </c>
      <c r="F88" s="491">
        <v>1280.5866399999998</v>
      </c>
      <c r="G88" s="491">
        <v>1100.5900199999999</v>
      </c>
      <c r="H88" s="491">
        <v>906.8531999999999</v>
      </c>
      <c r="I88" s="491">
        <v>583.9585</v>
      </c>
      <c r="J88" s="491">
        <v>1985.2114199999999</v>
      </c>
      <c r="K88" s="491">
        <v>1538.9024000000002</v>
      </c>
      <c r="L88" s="451">
        <f t="shared" si="1"/>
        <v>1985.2114199999999</v>
      </c>
      <c r="M88" s="127">
        <f t="shared" si="2"/>
        <v>1590.1096</v>
      </c>
      <c r="N88" s="127">
        <f t="shared" si="3"/>
        <v>1590.1096</v>
      </c>
      <c r="O88" s="127">
        <f t="shared" si="4"/>
        <v>1590.1096</v>
      </c>
      <c r="P88" s="127">
        <f t="shared" si="5"/>
        <v>1590.1096</v>
      </c>
      <c r="Q88" s="127">
        <f t="shared" si="6"/>
        <v>1590.1096</v>
      </c>
      <c r="Y88" s="11"/>
      <c r="Z88" s="173"/>
    </row>
    <row r="89" spans="1:26" ht="15.75" hidden="1">
      <c r="A89" s="129"/>
      <c r="B89" s="189">
        <v>1</v>
      </c>
      <c r="C89" s="452">
        <f t="shared" si="0"/>
        <v>1988.8122999999998</v>
      </c>
      <c r="D89" s="491">
        <v>1988.8122999999998</v>
      </c>
      <c r="E89" s="491">
        <v>1408.3704999999998</v>
      </c>
      <c r="F89" s="491">
        <v>1327.3033199999998</v>
      </c>
      <c r="G89" s="491">
        <v>1068.9875599999998</v>
      </c>
      <c r="H89" s="491">
        <v>1004.4086199999999</v>
      </c>
      <c r="I89" s="491">
        <v>583.9585</v>
      </c>
      <c r="J89" s="491">
        <v>2100.238215</v>
      </c>
      <c r="K89" s="491">
        <v>1585.6190800000002</v>
      </c>
      <c r="L89" s="451">
        <f t="shared" si="1"/>
        <v>2100.238215</v>
      </c>
      <c r="M89" s="127">
        <f t="shared" si="2"/>
        <v>1988.8122999999998</v>
      </c>
      <c r="N89" s="127">
        <f t="shared" si="3"/>
        <v>1988.8122999999998</v>
      </c>
      <c r="O89" s="127">
        <f t="shared" si="4"/>
        <v>1988.8122999999998</v>
      </c>
      <c r="P89" s="127">
        <f t="shared" si="5"/>
        <v>1988.8122999999998</v>
      </c>
      <c r="Q89" s="127">
        <f t="shared" si="6"/>
        <v>1988.8122999999998</v>
      </c>
      <c r="Y89" s="11"/>
      <c r="Z89" s="173"/>
    </row>
    <row r="90" spans="1:26" ht="15.75" hidden="1">
      <c r="A90" s="129"/>
      <c r="B90" s="189">
        <v>1.1</v>
      </c>
      <c r="C90" s="452">
        <f t="shared" si="0"/>
        <v>2233.7669</v>
      </c>
      <c r="D90" s="491">
        <v>2233.7669</v>
      </c>
      <c r="E90" s="491">
        <v>1603.4813399999998</v>
      </c>
      <c r="F90" s="491">
        <v>1393.2562799999998</v>
      </c>
      <c r="G90" s="491">
        <v>1068.9875599999998</v>
      </c>
      <c r="H90" s="491">
        <v>1037.3851</v>
      </c>
      <c r="I90" s="491">
        <v>615.5609599999999</v>
      </c>
      <c r="J90" s="491">
        <v>2182.00425</v>
      </c>
      <c r="K90" s="491">
        <v>1635.0837999999997</v>
      </c>
      <c r="L90" s="451">
        <f t="shared" si="1"/>
        <v>2182.00425</v>
      </c>
      <c r="M90" s="127">
        <f t="shared" si="2"/>
        <v>2233.7669</v>
      </c>
      <c r="N90" s="127">
        <f t="shared" si="3"/>
        <v>2233.7669</v>
      </c>
      <c r="O90" s="127">
        <f t="shared" si="4"/>
        <v>2233.7669</v>
      </c>
      <c r="P90" s="127">
        <f t="shared" si="5"/>
        <v>2233.7669</v>
      </c>
      <c r="Q90" s="127">
        <f t="shared" si="6"/>
        <v>2233.7669</v>
      </c>
      <c r="Y90" s="11"/>
      <c r="Z90" s="173"/>
    </row>
    <row r="91" spans="1:26" ht="16.5" hidden="1" thickBot="1">
      <c r="A91" s="129"/>
      <c r="B91" s="190">
        <v>1.2</v>
      </c>
      <c r="C91" s="453">
        <f t="shared" si="0"/>
        <v>2311.9439</v>
      </c>
      <c r="D91" s="491">
        <v>2311.9439</v>
      </c>
      <c r="E91" s="491">
        <v>1652.94606</v>
      </c>
      <c r="F91" s="491">
        <v>1554.0166199999999</v>
      </c>
      <c r="G91" s="491">
        <v>1085.4758</v>
      </c>
      <c r="H91" s="491">
        <v>1068.9875599999998</v>
      </c>
      <c r="I91" s="491">
        <v>615.5609599999999</v>
      </c>
      <c r="J91" s="491">
        <v>2198.6346299999996</v>
      </c>
      <c r="K91" s="491">
        <v>1652.94606</v>
      </c>
      <c r="L91" s="451">
        <f t="shared" si="1"/>
        <v>2198.6346299999996</v>
      </c>
      <c r="M91" s="127">
        <f t="shared" si="2"/>
        <v>2311.9439</v>
      </c>
      <c r="N91" s="127">
        <f t="shared" si="3"/>
        <v>2311.9439</v>
      </c>
      <c r="O91" s="127">
        <f t="shared" si="4"/>
        <v>2311.9439</v>
      </c>
      <c r="P91" s="127">
        <f t="shared" si="5"/>
        <v>2311.9439</v>
      </c>
      <c r="Q91" s="127">
        <f t="shared" si="6"/>
        <v>2311.9439</v>
      </c>
      <c r="Y91" s="11"/>
      <c r="Z91" s="173"/>
    </row>
    <row r="92" spans="1:26" ht="15.75" hidden="1">
      <c r="A92" s="129"/>
      <c r="B92" s="149"/>
      <c r="C92" s="513"/>
      <c r="D92" s="514"/>
      <c r="E92" s="514"/>
      <c r="F92" s="514"/>
      <c r="G92" s="514"/>
      <c r="H92" s="514"/>
      <c r="I92" s="514"/>
      <c r="J92" s="514"/>
      <c r="K92" s="514"/>
      <c r="L92" s="515"/>
      <c r="M92" s="125"/>
      <c r="N92" s="125"/>
      <c r="O92" s="125"/>
      <c r="P92" s="125"/>
      <c r="Q92" s="125"/>
      <c r="Y92" s="11"/>
      <c r="Z92" s="173"/>
    </row>
    <row r="93" spans="1:26" ht="15.75" hidden="1">
      <c r="A93" s="129"/>
      <c r="B93" s="130"/>
      <c r="C93" s="131"/>
      <c r="D93" s="361"/>
      <c r="E93" s="131"/>
      <c r="F93" s="131"/>
      <c r="G93" s="130"/>
      <c r="H93" s="131"/>
      <c r="I93" s="2"/>
      <c r="J93" s="2"/>
      <c r="K93" s="2"/>
      <c r="Y93" s="11"/>
      <c r="Z93" s="173"/>
    </row>
    <row r="94" spans="1:26" ht="15.75" hidden="1">
      <c r="A94" s="129"/>
      <c r="B94" s="130"/>
      <c r="C94" s="131"/>
      <c r="D94" s="361"/>
      <c r="E94" s="131"/>
      <c r="F94" s="131"/>
      <c r="G94" s="130"/>
      <c r="H94" s="131"/>
      <c r="I94" s="2"/>
      <c r="J94" s="2"/>
      <c r="K94" s="2"/>
      <c r="Y94" s="11"/>
      <c r="Z94" s="173"/>
    </row>
    <row r="95" spans="1:26" ht="15.75" hidden="1">
      <c r="A95" s="129"/>
      <c r="B95" s="130"/>
      <c r="C95" s="131"/>
      <c r="D95" s="361">
        <f>(D80+145)*1.22</f>
        <v>1345.878197</v>
      </c>
      <c r="E95" s="361">
        <f>(E80+145)*1.22</f>
        <v>492.04522719999994</v>
      </c>
      <c r="F95" s="361">
        <f>(F80+145)*1.22</f>
        <v>176.9</v>
      </c>
      <c r="G95" s="361">
        <f>(G80+145)*1.22</f>
        <v>176.9</v>
      </c>
      <c r="H95" s="361">
        <f>(H80+145)*1.22</f>
        <v>176.9</v>
      </c>
      <c r="I95" s="361">
        <f>(I80+250)*1.22</f>
        <v>305</v>
      </c>
      <c r="J95" s="361">
        <f>(J80+250)*1.22</f>
        <v>833.3119963999999</v>
      </c>
      <c r="K95" s="361">
        <f>(K80+250)*1.22</f>
        <v>620.1452271999999</v>
      </c>
      <c r="Y95" s="11"/>
      <c r="Z95" s="173"/>
    </row>
    <row r="96" spans="1:26" ht="15.75" hidden="1">
      <c r="A96" s="129"/>
      <c r="B96" s="130"/>
      <c r="C96" s="131"/>
      <c r="D96" s="361">
        <f aca="true" t="shared" si="7" ref="D96:G106">(D81+145)*1.22</f>
        <v>1864.0874709999998</v>
      </c>
      <c r="E96" s="361">
        <f t="shared" si="7"/>
        <v>532.2765327999999</v>
      </c>
      <c r="F96" s="361">
        <f t="shared" si="7"/>
        <v>176.9</v>
      </c>
      <c r="G96" s="361">
        <f t="shared" si="7"/>
        <v>176.9</v>
      </c>
      <c r="H96" s="361">
        <f aca="true" t="shared" si="8" ref="H96:H106">(H81+145)*1.22</f>
        <v>176.9</v>
      </c>
      <c r="I96" s="361">
        <f aca="true" t="shared" si="9" ref="I96:K106">(I81+250)*1.22</f>
        <v>305</v>
      </c>
      <c r="J96" s="361">
        <f t="shared" si="9"/>
        <v>873.8901235999999</v>
      </c>
      <c r="K96" s="361">
        <f t="shared" si="9"/>
        <v>660.3765328</v>
      </c>
      <c r="Y96" s="11"/>
      <c r="Z96" s="173"/>
    </row>
    <row r="97" spans="1:26" ht="15.75" hidden="1">
      <c r="A97" s="129"/>
      <c r="B97" s="130"/>
      <c r="C97" s="131"/>
      <c r="D97" s="361">
        <f t="shared" si="7"/>
        <v>2188.365667</v>
      </c>
      <c r="E97" s="361">
        <f t="shared" si="7"/>
        <v>889.3293699999999</v>
      </c>
      <c r="F97" s="361">
        <f t="shared" si="7"/>
        <v>1125.6882904</v>
      </c>
      <c r="G97" s="361">
        <f t="shared" si="7"/>
        <v>937.9421975999998</v>
      </c>
      <c r="H97" s="361">
        <f t="shared" si="8"/>
        <v>889.3293699999999</v>
      </c>
      <c r="I97" s="361">
        <f t="shared" si="9"/>
        <v>305</v>
      </c>
      <c r="J97" s="361">
        <f t="shared" si="9"/>
        <v>1391.2612453999998</v>
      </c>
      <c r="K97" s="361">
        <f t="shared" si="9"/>
        <v>1173.3256791999997</v>
      </c>
      <c r="Y97" s="11"/>
      <c r="Z97" s="173"/>
    </row>
    <row r="98" spans="1:26" ht="15.75" hidden="1">
      <c r="A98" s="129"/>
      <c r="B98" s="130"/>
      <c r="C98" s="131"/>
      <c r="D98" s="361">
        <f t="shared" si="7"/>
        <v>2323.4815820000003</v>
      </c>
      <c r="E98" s="361">
        <f t="shared" si="7"/>
        <v>946.3237195999999</v>
      </c>
      <c r="F98" s="361">
        <f t="shared" si="7"/>
        <v>1125.6882904</v>
      </c>
      <c r="G98" s="361">
        <f t="shared" si="7"/>
        <v>937.9421975999998</v>
      </c>
      <c r="H98" s="361">
        <f t="shared" si="8"/>
        <v>889.3293699999999</v>
      </c>
      <c r="I98" s="361">
        <f t="shared" si="9"/>
        <v>305</v>
      </c>
      <c r="J98" s="361">
        <f t="shared" si="9"/>
        <v>2030.3667487999996</v>
      </c>
      <c r="K98" s="361">
        <f t="shared" si="9"/>
        <v>1687.95113</v>
      </c>
      <c r="Y98" s="11"/>
      <c r="Z98" s="173"/>
    </row>
    <row r="99" spans="1:26" ht="15.75" hidden="1">
      <c r="A99" s="129"/>
      <c r="B99" s="130"/>
      <c r="C99" s="131"/>
      <c r="D99" s="361">
        <f t="shared" si="7"/>
        <v>2105.706519</v>
      </c>
      <c r="E99" s="361">
        <f t="shared" si="7"/>
        <v>1006.6706779999998</v>
      </c>
      <c r="F99" s="361">
        <f t="shared" si="7"/>
        <v>1165.919596</v>
      </c>
      <c r="G99" s="361">
        <f t="shared" si="7"/>
        <v>966.2277999999999</v>
      </c>
      <c r="H99" s="361">
        <f t="shared" si="8"/>
        <v>889.3293699999999</v>
      </c>
      <c r="I99" s="361">
        <f t="shared" si="9"/>
        <v>858.180452</v>
      </c>
      <c r="J99" s="361">
        <f t="shared" si="9"/>
        <v>2270.4540014</v>
      </c>
      <c r="K99" s="361">
        <f t="shared" si="9"/>
        <v>1885.7550491999998</v>
      </c>
      <c r="Y99" s="11"/>
      <c r="Z99" s="173"/>
    </row>
    <row r="100" spans="1:26" ht="15.75" hidden="1">
      <c r="A100" s="129"/>
      <c r="B100" s="130"/>
      <c r="C100" s="131"/>
      <c r="D100" s="361">
        <f t="shared" si="7"/>
        <v>1846.6018820000002</v>
      </c>
      <c r="E100" s="361">
        <f t="shared" si="7"/>
        <v>1087.1332891999998</v>
      </c>
      <c r="F100" s="361">
        <f t="shared" si="7"/>
        <v>1165.919596</v>
      </c>
      <c r="G100" s="361">
        <f t="shared" si="7"/>
        <v>966.4393723999998</v>
      </c>
      <c r="H100" s="361">
        <f t="shared" si="8"/>
        <v>889.3293699999999</v>
      </c>
      <c r="I100" s="361">
        <f t="shared" si="9"/>
        <v>858.180452</v>
      </c>
      <c r="J100" s="361">
        <f t="shared" si="9"/>
        <v>2409.0959359999997</v>
      </c>
      <c r="K100" s="361">
        <f t="shared" si="9"/>
        <v>2023.2120099999997</v>
      </c>
      <c r="Y100" s="11"/>
      <c r="Z100" s="173"/>
    </row>
    <row r="101" spans="1:26" ht="15.75" hidden="1">
      <c r="A101" s="129"/>
      <c r="B101" s="130"/>
      <c r="C101" s="131"/>
      <c r="D101" s="361">
        <f t="shared" si="7"/>
        <v>1856.1394759999998</v>
      </c>
      <c r="E101" s="361">
        <f t="shared" si="7"/>
        <v>1036.8441572</v>
      </c>
      <c r="F101" s="361">
        <f t="shared" si="7"/>
        <v>1204.4745971999998</v>
      </c>
      <c r="G101" s="361">
        <f t="shared" si="7"/>
        <v>979.8498075999998</v>
      </c>
      <c r="H101" s="361">
        <f t="shared" si="8"/>
        <v>927.8843711999999</v>
      </c>
      <c r="I101" s="361">
        <f t="shared" si="9"/>
        <v>936.9667588</v>
      </c>
      <c r="J101" s="361">
        <f t="shared" si="9"/>
        <v>2549.4286259</v>
      </c>
      <c r="K101" s="361">
        <f t="shared" si="9"/>
        <v>2083.5589683999997</v>
      </c>
      <c r="Y101" s="11"/>
      <c r="Z101" s="173"/>
    </row>
    <row r="102" spans="1:26" ht="15.75" hidden="1">
      <c r="A102" s="129"/>
      <c r="B102" s="130"/>
      <c r="C102" s="131"/>
      <c r="D102" s="361">
        <f t="shared" si="7"/>
        <v>1778.2491249999998</v>
      </c>
      <c r="E102" s="361">
        <f t="shared" si="7"/>
        <v>1303.3765567999997</v>
      </c>
      <c r="F102" s="361">
        <f t="shared" si="7"/>
        <v>1618.5217839999998</v>
      </c>
      <c r="G102" s="361">
        <f t="shared" si="7"/>
        <v>1087.1332891999998</v>
      </c>
      <c r="H102" s="361">
        <f t="shared" si="8"/>
        <v>927.8843711999999</v>
      </c>
      <c r="I102" s="361">
        <f t="shared" si="9"/>
        <v>936.9667588</v>
      </c>
      <c r="J102" s="361">
        <f t="shared" si="9"/>
        <v>2608.6050613999996</v>
      </c>
      <c r="K102" s="361">
        <f t="shared" si="9"/>
        <v>2143.9059267999996</v>
      </c>
      <c r="Y102" s="11"/>
      <c r="Z102" s="173"/>
    </row>
    <row r="103" spans="1:26" ht="15.75" hidden="1">
      <c r="A103" s="129"/>
      <c r="B103" s="130"/>
      <c r="C103" s="131"/>
      <c r="D103" s="361">
        <f t="shared" si="7"/>
        <v>2116.833712</v>
      </c>
      <c r="E103" s="361">
        <f t="shared" si="7"/>
        <v>1541.4117816</v>
      </c>
      <c r="F103" s="361">
        <f t="shared" si="7"/>
        <v>1739.2157007999997</v>
      </c>
      <c r="G103" s="361">
        <f t="shared" si="7"/>
        <v>1519.6198243999997</v>
      </c>
      <c r="H103" s="361">
        <f t="shared" si="8"/>
        <v>1283.260904</v>
      </c>
      <c r="I103" s="361">
        <f t="shared" si="9"/>
        <v>1017.42937</v>
      </c>
      <c r="J103" s="361">
        <f t="shared" si="9"/>
        <v>2726.9579323999997</v>
      </c>
      <c r="K103" s="361">
        <f t="shared" si="9"/>
        <v>2182.460928</v>
      </c>
      <c r="Y103" s="11"/>
      <c r="Z103" s="173"/>
    </row>
    <row r="104" spans="1:26" ht="15.75" hidden="1">
      <c r="A104" s="129"/>
      <c r="B104" s="130"/>
      <c r="C104" s="131"/>
      <c r="D104" s="361">
        <f t="shared" si="7"/>
        <v>2603.2510059999995</v>
      </c>
      <c r="E104" s="361">
        <f t="shared" si="7"/>
        <v>1895.1120099999996</v>
      </c>
      <c r="F104" s="361">
        <f t="shared" si="7"/>
        <v>1796.2100503999998</v>
      </c>
      <c r="G104" s="361">
        <f t="shared" si="7"/>
        <v>1481.0648231999996</v>
      </c>
      <c r="H104" s="361">
        <f t="shared" si="8"/>
        <v>1402.2785164</v>
      </c>
      <c r="I104" s="361">
        <f t="shared" si="9"/>
        <v>1017.42937</v>
      </c>
      <c r="J104" s="361">
        <f t="shared" si="9"/>
        <v>2867.2906222999995</v>
      </c>
      <c r="K104" s="361">
        <f t="shared" si="9"/>
        <v>2239.4552776</v>
      </c>
      <c r="Y104" s="11"/>
      <c r="Z104" s="173"/>
    </row>
    <row r="105" spans="1:26" ht="15.75" hidden="1">
      <c r="A105" s="129"/>
      <c r="B105" s="130"/>
      <c r="C105" s="131"/>
      <c r="D105" s="361">
        <f t="shared" si="7"/>
        <v>2902.095618</v>
      </c>
      <c r="E105" s="361">
        <f t="shared" si="7"/>
        <v>2133.1472347999998</v>
      </c>
      <c r="F105" s="361">
        <f t="shared" si="7"/>
        <v>1876.6726615999999</v>
      </c>
      <c r="G105" s="361">
        <f t="shared" si="7"/>
        <v>1481.0648231999996</v>
      </c>
      <c r="H105" s="361">
        <f t="shared" si="8"/>
        <v>1442.509822</v>
      </c>
      <c r="I105" s="361">
        <f t="shared" si="9"/>
        <v>1055.9843712</v>
      </c>
      <c r="J105" s="361">
        <f t="shared" si="9"/>
        <v>2967.045185</v>
      </c>
      <c r="K105" s="361">
        <f t="shared" si="9"/>
        <v>2299.8022359999995</v>
      </c>
      <c r="Y105" s="11"/>
      <c r="Z105" s="173"/>
    </row>
    <row r="106" spans="1:26" ht="15.75" hidden="1">
      <c r="A106" s="129"/>
      <c r="B106" s="130"/>
      <c r="C106" s="131"/>
      <c r="D106" s="361">
        <f t="shared" si="7"/>
        <v>2997.471558</v>
      </c>
      <c r="E106" s="361">
        <f t="shared" si="7"/>
        <v>2193.4941932</v>
      </c>
      <c r="F106" s="361">
        <f t="shared" si="7"/>
        <v>2072.8002764</v>
      </c>
      <c r="G106" s="361">
        <f t="shared" si="7"/>
        <v>1501.180476</v>
      </c>
      <c r="H106" s="361">
        <f t="shared" si="8"/>
        <v>1481.0648231999996</v>
      </c>
      <c r="I106" s="361">
        <f t="shared" si="9"/>
        <v>1055.9843712</v>
      </c>
      <c r="J106" s="361">
        <f t="shared" si="9"/>
        <v>2987.3342485999992</v>
      </c>
      <c r="K106" s="361">
        <f t="shared" si="9"/>
        <v>2321.5941932</v>
      </c>
      <c r="Y106" s="11"/>
      <c r="Z106" s="173"/>
    </row>
    <row r="107" spans="1:26" ht="15.75" hidden="1">
      <c r="A107" s="129"/>
      <c r="B107" s="130"/>
      <c r="C107" s="131"/>
      <c r="D107" s="361"/>
      <c r="E107" s="361"/>
      <c r="F107" s="361"/>
      <c r="G107" s="361"/>
      <c r="H107" s="361"/>
      <c r="I107" s="361"/>
      <c r="J107" s="361"/>
      <c r="K107" s="361"/>
      <c r="Y107" s="11"/>
      <c r="Z107" s="173"/>
    </row>
    <row r="108" spans="1:26" ht="15.75" hidden="1">
      <c r="A108" s="129"/>
      <c r="B108" s="130"/>
      <c r="C108" s="131"/>
      <c r="D108" s="361"/>
      <c r="E108" s="361"/>
      <c r="F108" s="361"/>
      <c r="G108" s="361"/>
      <c r="H108" s="361"/>
      <c r="I108" s="361"/>
      <c r="J108" s="361"/>
      <c r="K108" s="361"/>
      <c r="Y108" s="11"/>
      <c r="Z108" s="173"/>
    </row>
    <row r="109" spans="1:26" ht="15.75" hidden="1">
      <c r="A109" s="129"/>
      <c r="B109" s="130"/>
      <c r="C109" s="131"/>
      <c r="D109" s="361">
        <f>D95*1.11</f>
        <v>1493.9247986700002</v>
      </c>
      <c r="E109" s="361">
        <f aca="true" t="shared" si="10" ref="E109:K109">E95*1.11</f>
        <v>546.170202192</v>
      </c>
      <c r="F109" s="361">
        <f t="shared" si="10"/>
        <v>196.35900000000004</v>
      </c>
      <c r="G109" s="361">
        <f t="shared" si="10"/>
        <v>196.35900000000004</v>
      </c>
      <c r="H109" s="361">
        <f t="shared" si="10"/>
        <v>196.35900000000004</v>
      </c>
      <c r="I109" s="361">
        <f t="shared" si="10"/>
        <v>338.55</v>
      </c>
      <c r="J109" s="361">
        <f t="shared" si="10"/>
        <v>924.976316004</v>
      </c>
      <c r="K109" s="361">
        <f t="shared" si="10"/>
        <v>688.361202192</v>
      </c>
      <c r="Y109" s="11"/>
      <c r="Z109" s="173"/>
    </row>
    <row r="110" spans="1:26" ht="15.75" hidden="1">
      <c r="A110" s="129"/>
      <c r="B110" s="130"/>
      <c r="C110" s="131"/>
      <c r="D110" s="361">
        <f aca="true" t="shared" si="11" ref="D110:K119">D96*1.11</f>
        <v>2069.13709281</v>
      </c>
      <c r="E110" s="361">
        <f t="shared" si="11"/>
        <v>590.826951408</v>
      </c>
      <c r="F110" s="361">
        <f t="shared" si="11"/>
        <v>196.35900000000004</v>
      </c>
      <c r="G110" s="361">
        <f t="shared" si="11"/>
        <v>196.35900000000004</v>
      </c>
      <c r="H110" s="361">
        <f t="shared" si="11"/>
        <v>196.35900000000004</v>
      </c>
      <c r="I110" s="361">
        <f t="shared" si="11"/>
        <v>338.55</v>
      </c>
      <c r="J110" s="361">
        <f t="shared" si="11"/>
        <v>970.018037196</v>
      </c>
      <c r="K110" s="361">
        <f t="shared" si="11"/>
        <v>733.017951408</v>
      </c>
      <c r="Y110" s="11"/>
      <c r="Z110" s="173"/>
    </row>
    <row r="111" spans="1:26" ht="15.75" hidden="1">
      <c r="A111" s="129"/>
      <c r="B111" s="130"/>
      <c r="C111" s="131"/>
      <c r="D111" s="361">
        <f t="shared" si="11"/>
        <v>2429.0858903700005</v>
      </c>
      <c r="E111" s="361">
        <f t="shared" si="11"/>
        <v>987.1556007</v>
      </c>
      <c r="F111" s="361">
        <f t="shared" si="11"/>
        <v>1249.5140023440001</v>
      </c>
      <c r="G111" s="361">
        <f t="shared" si="11"/>
        <v>1041.115839336</v>
      </c>
      <c r="H111" s="361">
        <f t="shared" si="11"/>
        <v>987.1556007</v>
      </c>
      <c r="I111" s="361">
        <f t="shared" si="11"/>
        <v>338.55</v>
      </c>
      <c r="J111" s="361">
        <f t="shared" si="11"/>
        <v>1544.299982394</v>
      </c>
      <c r="K111" s="361">
        <f t="shared" si="11"/>
        <v>1302.3915039119997</v>
      </c>
      <c r="Y111" s="11"/>
      <c r="Z111" s="173"/>
    </row>
    <row r="112" spans="1:26" ht="15.75" hidden="1">
      <c r="A112" s="129"/>
      <c r="B112" s="130"/>
      <c r="C112" s="131"/>
      <c r="D112" s="361">
        <f t="shared" si="11"/>
        <v>2579.0645560200005</v>
      </c>
      <c r="E112" s="361">
        <f t="shared" si="11"/>
        <v>1050.419328756</v>
      </c>
      <c r="F112" s="361">
        <f t="shared" si="11"/>
        <v>1249.5140023440001</v>
      </c>
      <c r="G112" s="361">
        <f t="shared" si="11"/>
        <v>1041.115839336</v>
      </c>
      <c r="H112" s="361">
        <f t="shared" si="11"/>
        <v>987.1556007</v>
      </c>
      <c r="I112" s="361">
        <f t="shared" si="11"/>
        <v>338.55</v>
      </c>
      <c r="J112" s="361">
        <f t="shared" si="11"/>
        <v>2253.707091168</v>
      </c>
      <c r="K112" s="361">
        <f t="shared" si="11"/>
        <v>1873.6257543000002</v>
      </c>
      <c r="Y112" s="11"/>
      <c r="Z112" s="173"/>
    </row>
    <row r="113" spans="1:26" ht="15.75" hidden="1">
      <c r="A113" s="129"/>
      <c r="B113" s="130"/>
      <c r="C113" s="131"/>
      <c r="D113" s="361">
        <f t="shared" si="11"/>
        <v>2337.33423609</v>
      </c>
      <c r="E113" s="361">
        <f t="shared" si="11"/>
        <v>1117.40445258</v>
      </c>
      <c r="F113" s="361">
        <f t="shared" si="11"/>
        <v>1294.17075156</v>
      </c>
      <c r="G113" s="361">
        <f t="shared" si="11"/>
        <v>1072.512858</v>
      </c>
      <c r="H113" s="361">
        <f t="shared" si="11"/>
        <v>987.1556007</v>
      </c>
      <c r="I113" s="361">
        <f t="shared" si="11"/>
        <v>952.5803017200001</v>
      </c>
      <c r="J113" s="361">
        <f t="shared" si="11"/>
        <v>2520.2039415540003</v>
      </c>
      <c r="K113" s="361">
        <f t="shared" si="11"/>
        <v>2093.188104612</v>
      </c>
      <c r="Y113" s="11"/>
      <c r="Z113" s="173"/>
    </row>
    <row r="114" spans="1:26" ht="15.75" hidden="1">
      <c r="A114" s="129"/>
      <c r="B114" s="130"/>
      <c r="C114" s="131"/>
      <c r="D114" s="361">
        <f t="shared" si="11"/>
        <v>2049.7280890200004</v>
      </c>
      <c r="E114" s="361">
        <f t="shared" si="11"/>
        <v>1206.717951012</v>
      </c>
      <c r="F114" s="361">
        <f t="shared" si="11"/>
        <v>1294.17075156</v>
      </c>
      <c r="G114" s="361">
        <f t="shared" si="11"/>
        <v>1072.7477033639998</v>
      </c>
      <c r="H114" s="361">
        <f t="shared" si="11"/>
        <v>987.1556007</v>
      </c>
      <c r="I114" s="361">
        <f t="shared" si="11"/>
        <v>952.5803017200001</v>
      </c>
      <c r="J114" s="361">
        <f t="shared" si="11"/>
        <v>2674.09648896</v>
      </c>
      <c r="K114" s="361">
        <f t="shared" si="11"/>
        <v>2245.7653311</v>
      </c>
      <c r="Y114" s="11"/>
      <c r="Z114" s="173"/>
    </row>
    <row r="115" spans="1:26" ht="15.75" hidden="1">
      <c r="A115" s="129"/>
      <c r="B115" s="130"/>
      <c r="C115" s="131"/>
      <c r="D115" s="361">
        <f t="shared" si="11"/>
        <v>2060.31481836</v>
      </c>
      <c r="E115" s="361">
        <f t="shared" si="11"/>
        <v>1150.897014492</v>
      </c>
      <c r="F115" s="361">
        <f t="shared" si="11"/>
        <v>1336.966802892</v>
      </c>
      <c r="G115" s="361">
        <f t="shared" si="11"/>
        <v>1087.633286436</v>
      </c>
      <c r="H115" s="361">
        <f t="shared" si="11"/>
        <v>1029.951652032</v>
      </c>
      <c r="I115" s="361">
        <f t="shared" si="11"/>
        <v>1040.033102268</v>
      </c>
      <c r="J115" s="361">
        <f t="shared" si="11"/>
        <v>2829.865774749</v>
      </c>
      <c r="K115" s="361">
        <f t="shared" si="11"/>
        <v>2312.7504549239998</v>
      </c>
      <c r="Y115" s="11"/>
      <c r="Z115" s="173"/>
    </row>
    <row r="116" spans="1:26" ht="15.75" hidden="1">
      <c r="A116" s="129"/>
      <c r="B116" s="130"/>
      <c r="C116" s="131"/>
      <c r="D116" s="361">
        <f t="shared" si="11"/>
        <v>1973.85652875</v>
      </c>
      <c r="E116" s="361">
        <f t="shared" si="11"/>
        <v>1446.7479780479998</v>
      </c>
      <c r="F116" s="361">
        <f t="shared" si="11"/>
        <v>1796.55918024</v>
      </c>
      <c r="G116" s="361">
        <f t="shared" si="11"/>
        <v>1206.717951012</v>
      </c>
      <c r="H116" s="361">
        <f t="shared" si="11"/>
        <v>1029.951652032</v>
      </c>
      <c r="I116" s="361">
        <f t="shared" si="11"/>
        <v>1040.033102268</v>
      </c>
      <c r="J116" s="361">
        <f t="shared" si="11"/>
        <v>2895.5516181539997</v>
      </c>
      <c r="K116" s="361">
        <f t="shared" si="11"/>
        <v>2379.7355787479996</v>
      </c>
      <c r="Y116" s="11"/>
      <c r="Z116" s="173"/>
    </row>
    <row r="117" spans="1:26" ht="15.75" hidden="1">
      <c r="A117" s="129"/>
      <c r="B117" s="130"/>
      <c r="C117" s="131"/>
      <c r="D117" s="361">
        <f t="shared" si="11"/>
        <v>2349.6854203200005</v>
      </c>
      <c r="E117" s="361">
        <f t="shared" si="11"/>
        <v>1710.9670775760003</v>
      </c>
      <c r="F117" s="361">
        <f t="shared" si="11"/>
        <v>1930.5294278879999</v>
      </c>
      <c r="G117" s="361">
        <f t="shared" si="11"/>
        <v>1686.778005084</v>
      </c>
      <c r="H117" s="361">
        <f t="shared" si="11"/>
        <v>1424.4196034400002</v>
      </c>
      <c r="I117" s="361">
        <f t="shared" si="11"/>
        <v>1129.3466007</v>
      </c>
      <c r="J117" s="361">
        <f t="shared" si="11"/>
        <v>3026.9233049639997</v>
      </c>
      <c r="K117" s="361">
        <f t="shared" si="11"/>
        <v>2422.53163008</v>
      </c>
      <c r="Y117" s="11"/>
      <c r="Z117" s="173"/>
    </row>
    <row r="118" spans="1:26" ht="15.75" hidden="1">
      <c r="A118" s="129"/>
      <c r="B118" s="130"/>
      <c r="C118" s="131"/>
      <c r="D118" s="361">
        <f t="shared" si="11"/>
        <v>2889.60861666</v>
      </c>
      <c r="E118" s="361">
        <f t="shared" si="11"/>
        <v>2103.5743310999997</v>
      </c>
      <c r="F118" s="361">
        <f t="shared" si="11"/>
        <v>1993.7931559439999</v>
      </c>
      <c r="G118" s="361">
        <f t="shared" si="11"/>
        <v>1643.9819537519998</v>
      </c>
      <c r="H118" s="361">
        <f t="shared" si="11"/>
        <v>1556.529153204</v>
      </c>
      <c r="I118" s="361">
        <f t="shared" si="11"/>
        <v>1129.3466007</v>
      </c>
      <c r="J118" s="361">
        <f t="shared" si="11"/>
        <v>3182.692590753</v>
      </c>
      <c r="K118" s="361">
        <f t="shared" si="11"/>
        <v>2485.7953581360002</v>
      </c>
      <c r="Y118" s="11"/>
      <c r="Z118" s="173"/>
    </row>
    <row r="119" spans="1:26" ht="15.75" hidden="1">
      <c r="A119" s="129"/>
      <c r="B119" s="130"/>
      <c r="C119" s="131"/>
      <c r="D119" s="361">
        <f t="shared" si="11"/>
        <v>3221.32613598</v>
      </c>
      <c r="E119" s="361">
        <f t="shared" si="11"/>
        <v>2367.793430628</v>
      </c>
      <c r="F119" s="361">
        <f t="shared" si="11"/>
        <v>2083.106654376</v>
      </c>
      <c r="G119" s="361">
        <f t="shared" si="11"/>
        <v>1643.9819537519998</v>
      </c>
      <c r="H119" s="361">
        <f t="shared" si="11"/>
        <v>1601.18590242</v>
      </c>
      <c r="I119" s="361">
        <f t="shared" si="11"/>
        <v>1172.1426520320001</v>
      </c>
      <c r="J119" s="361">
        <f t="shared" si="11"/>
        <v>3293.42015535</v>
      </c>
      <c r="K119" s="361">
        <f t="shared" si="11"/>
        <v>2552.7804819599996</v>
      </c>
      <c r="Y119" s="11"/>
      <c r="Z119" s="173"/>
    </row>
    <row r="120" spans="1:26" ht="15.75" hidden="1">
      <c r="A120" s="129"/>
      <c r="B120" s="130"/>
      <c r="C120" s="131"/>
      <c r="D120" s="361">
        <f>D106*1.11</f>
        <v>3327.1934293800005</v>
      </c>
      <c r="E120" s="361">
        <f aca="true" t="shared" si="12" ref="E120:K120">E106*1.11</f>
        <v>2434.778554452</v>
      </c>
      <c r="F120" s="361">
        <f t="shared" si="12"/>
        <v>2300.808306804</v>
      </c>
      <c r="G120" s="361">
        <f t="shared" si="12"/>
        <v>1666.31032836</v>
      </c>
      <c r="H120" s="361">
        <f t="shared" si="12"/>
        <v>1643.9819537519998</v>
      </c>
      <c r="I120" s="361">
        <f t="shared" si="12"/>
        <v>1172.1426520320001</v>
      </c>
      <c r="J120" s="361">
        <f t="shared" si="12"/>
        <v>3315.9410159459994</v>
      </c>
      <c r="K120" s="361">
        <f t="shared" si="12"/>
        <v>2576.9695544520005</v>
      </c>
      <c r="Y120" s="11"/>
      <c r="Z120" s="173"/>
    </row>
    <row r="121" spans="1:26" ht="15.75" hidden="1">
      <c r="A121" s="129"/>
      <c r="B121" s="130"/>
      <c r="C121" s="131"/>
      <c r="D121" s="361"/>
      <c r="E121" s="361"/>
      <c r="F121" s="361"/>
      <c r="G121" s="361"/>
      <c r="H121" s="361"/>
      <c r="I121" s="361"/>
      <c r="J121" s="361"/>
      <c r="K121" s="361"/>
      <c r="Y121" s="11"/>
      <c r="Z121" s="173"/>
    </row>
    <row r="122" spans="1:26" ht="15.75" hidden="1">
      <c r="A122" s="129"/>
      <c r="B122" s="130"/>
      <c r="C122" s="131"/>
      <c r="D122" s="361"/>
      <c r="E122" s="361"/>
      <c r="F122" s="361"/>
      <c r="G122" s="361"/>
      <c r="H122" s="361"/>
      <c r="I122" s="361"/>
      <c r="J122" s="361"/>
      <c r="K122" s="361"/>
      <c r="Y122" s="11"/>
      <c r="Z122" s="173"/>
    </row>
    <row r="123" spans="1:26" ht="15.75" hidden="1">
      <c r="A123" s="129"/>
      <c r="B123" s="130"/>
      <c r="C123" s="131"/>
      <c r="D123" s="361"/>
      <c r="E123" s="361"/>
      <c r="F123" s="361"/>
      <c r="G123" s="361"/>
      <c r="H123" s="361"/>
      <c r="I123" s="361"/>
      <c r="J123" s="361"/>
      <c r="K123" s="361"/>
      <c r="Y123" s="11"/>
      <c r="Z123" s="173"/>
    </row>
    <row r="124" spans="1:26" ht="15.75" hidden="1">
      <c r="A124" s="129"/>
      <c r="B124" s="130"/>
      <c r="C124" s="131"/>
      <c r="D124" s="361"/>
      <c r="E124" s="361"/>
      <c r="F124" s="361"/>
      <c r="G124" s="361"/>
      <c r="H124" s="361"/>
      <c r="I124" s="361"/>
      <c r="J124" s="361"/>
      <c r="K124" s="361"/>
      <c r="Y124" s="11"/>
      <c r="Z124" s="173"/>
    </row>
    <row r="125" spans="1:26" ht="15.75" hidden="1">
      <c r="A125" s="129"/>
      <c r="B125" s="130"/>
      <c r="C125" s="131"/>
      <c r="D125" s="361"/>
      <c r="E125" s="131"/>
      <c r="F125" s="131"/>
      <c r="G125" s="130"/>
      <c r="H125" s="131"/>
      <c r="I125" s="2"/>
      <c r="J125" s="2"/>
      <c r="K125" s="2"/>
      <c r="Y125" s="11"/>
      <c r="Z125" s="173"/>
    </row>
    <row r="126" spans="1:26" ht="15.75" hidden="1">
      <c r="A126" s="129"/>
      <c r="B126" s="130"/>
      <c r="C126" s="131"/>
      <c r="D126" s="361"/>
      <c r="E126" s="131"/>
      <c r="F126" s="131"/>
      <c r="G126" s="130"/>
      <c r="H126" s="131"/>
      <c r="I126" s="2"/>
      <c r="J126" s="2"/>
      <c r="K126" s="2"/>
      <c r="Y126" s="11"/>
      <c r="Z126" s="173"/>
    </row>
    <row r="127" spans="1:26" ht="21" hidden="1" thickBot="1">
      <c r="A127" s="129"/>
      <c r="B127" s="130"/>
      <c r="C127" s="131"/>
      <c r="D127" s="361"/>
      <c r="E127" s="131"/>
      <c r="F127" s="512">
        <v>42064</v>
      </c>
      <c r="G127" s="130"/>
      <c r="H127" s="131"/>
      <c r="I127" s="2"/>
      <c r="J127" s="2"/>
      <c r="K127" s="2"/>
      <c r="Y127" s="11"/>
      <c r="Z127" s="173"/>
    </row>
    <row r="128" spans="1:26" ht="17.25" hidden="1" thickBot="1" thickTop="1">
      <c r="A128" s="129"/>
      <c r="B128" s="130"/>
      <c r="C128" s="448" t="s">
        <v>354</v>
      </c>
      <c r="D128" s="17" t="s">
        <v>356</v>
      </c>
      <c r="E128" s="17" t="s">
        <v>357</v>
      </c>
      <c r="F128" s="449" t="s">
        <v>358</v>
      </c>
      <c r="G128" s="450" t="s">
        <v>359</v>
      </c>
      <c r="H128" s="449" t="s">
        <v>360</v>
      </c>
      <c r="I128" s="449" t="s">
        <v>361</v>
      </c>
      <c r="J128" s="449" t="s">
        <v>362</v>
      </c>
      <c r="K128" s="449" t="s">
        <v>363</v>
      </c>
      <c r="L128" s="126" t="s">
        <v>364</v>
      </c>
      <c r="M128" s="126">
        <v>1</v>
      </c>
      <c r="N128" s="126">
        <v>2</v>
      </c>
      <c r="O128" s="126">
        <v>3</v>
      </c>
      <c r="P128" s="126">
        <v>4</v>
      </c>
      <c r="Q128" s="126">
        <v>5</v>
      </c>
      <c r="Y128" s="11"/>
      <c r="Z128" s="173"/>
    </row>
    <row r="129" spans="1:26" ht="15.75" hidden="1">
      <c r="A129" s="129"/>
      <c r="B129" s="187">
        <v>0</v>
      </c>
      <c r="C129" s="452">
        <f aca="true" t="shared" si="13" ref="C129:C140">IF(puntosproljor&lt;620,Q129,L129)</f>
        <v>1345.878197</v>
      </c>
      <c r="D129" s="491">
        <v>1345.878197</v>
      </c>
      <c r="E129" s="491">
        <v>492.04522719999994</v>
      </c>
      <c r="F129" s="491">
        <v>176.9</v>
      </c>
      <c r="G129" s="491">
        <v>176.9</v>
      </c>
      <c r="H129" s="491">
        <v>176.9</v>
      </c>
      <c r="I129" s="491">
        <v>305</v>
      </c>
      <c r="J129" s="491">
        <v>833.3119963999999</v>
      </c>
      <c r="K129" s="491">
        <v>620.1452271999999</v>
      </c>
      <c r="L129" s="451">
        <f aca="true" t="shared" si="14" ref="L129:L140">IF(PUNTOSbasicos&gt;971,K129,J129)</f>
        <v>833.3119963999999</v>
      </c>
      <c r="M129" s="127">
        <f aca="true" t="shared" si="15" ref="M129:M140">IF(PUNTOSbasicos&lt;972,D129,E129)</f>
        <v>1345.878197</v>
      </c>
      <c r="N129" s="127">
        <f aca="true" t="shared" si="16" ref="N129:N140">IF(PUNTOSbasicos&lt;1170,M129,F129)</f>
        <v>1345.878197</v>
      </c>
      <c r="O129" s="127">
        <f aca="true" t="shared" si="17" ref="O129:O140">IF(PUNTOSbasicos&lt;1401,N129,G129)</f>
        <v>1345.878197</v>
      </c>
      <c r="P129" s="127">
        <f aca="true" t="shared" si="18" ref="P129:P140">IF(PUNTOSbasicos&lt;1943,O129,H129)</f>
        <v>1345.878197</v>
      </c>
      <c r="Q129" s="127">
        <f aca="true" t="shared" si="19" ref="Q129:Q140">IF(PUNTOSbasicos&lt;=2220,P129,I129)</f>
        <v>1345.878197</v>
      </c>
      <c r="Y129" s="11"/>
      <c r="Z129" s="173"/>
    </row>
    <row r="130" spans="1:26" ht="15.75" hidden="1">
      <c r="A130" s="129"/>
      <c r="B130" s="188">
        <v>0.1</v>
      </c>
      <c r="C130" s="452">
        <f t="shared" si="13"/>
        <v>1864.0874709999998</v>
      </c>
      <c r="D130" s="491">
        <v>1864.0874709999998</v>
      </c>
      <c r="E130" s="491">
        <v>532.2765327999999</v>
      </c>
      <c r="F130" s="491">
        <v>176.9</v>
      </c>
      <c r="G130" s="491">
        <v>176.9</v>
      </c>
      <c r="H130" s="491">
        <v>176.9</v>
      </c>
      <c r="I130" s="491">
        <v>305</v>
      </c>
      <c r="J130" s="491">
        <v>873.8901235999999</v>
      </c>
      <c r="K130" s="491">
        <v>660.3765328</v>
      </c>
      <c r="L130" s="451">
        <f t="shared" si="14"/>
        <v>873.8901235999999</v>
      </c>
      <c r="M130" s="127">
        <f t="shared" si="15"/>
        <v>1864.0874709999998</v>
      </c>
      <c r="N130" s="127">
        <f t="shared" si="16"/>
        <v>1864.0874709999998</v>
      </c>
      <c r="O130" s="127">
        <f t="shared" si="17"/>
        <v>1864.0874709999998</v>
      </c>
      <c r="P130" s="127">
        <f t="shared" si="18"/>
        <v>1864.0874709999998</v>
      </c>
      <c r="Q130" s="127">
        <f t="shared" si="19"/>
        <v>1864.0874709999998</v>
      </c>
      <c r="Y130" s="11"/>
      <c r="Z130" s="173"/>
    </row>
    <row r="131" spans="1:26" ht="15.75" hidden="1">
      <c r="A131" s="129"/>
      <c r="B131" s="189">
        <v>0.15</v>
      </c>
      <c r="C131" s="452">
        <f t="shared" si="13"/>
        <v>2188.365667</v>
      </c>
      <c r="D131" s="491">
        <v>2188.365667</v>
      </c>
      <c r="E131" s="491">
        <v>889.3293699999999</v>
      </c>
      <c r="F131" s="491">
        <v>1125.6882904</v>
      </c>
      <c r="G131" s="491">
        <v>937.9421975999998</v>
      </c>
      <c r="H131" s="491">
        <v>889.3293699999999</v>
      </c>
      <c r="I131" s="491">
        <v>305</v>
      </c>
      <c r="J131" s="491">
        <v>1391.2612453999998</v>
      </c>
      <c r="K131" s="491">
        <v>1173.3256791999997</v>
      </c>
      <c r="L131" s="451">
        <f t="shared" si="14"/>
        <v>1391.2612453999998</v>
      </c>
      <c r="M131" s="127">
        <f t="shared" si="15"/>
        <v>2188.365667</v>
      </c>
      <c r="N131" s="127">
        <f t="shared" si="16"/>
        <v>2188.365667</v>
      </c>
      <c r="O131" s="127">
        <f t="shared" si="17"/>
        <v>2188.365667</v>
      </c>
      <c r="P131" s="127">
        <f t="shared" si="18"/>
        <v>2188.365667</v>
      </c>
      <c r="Q131" s="127">
        <f t="shared" si="19"/>
        <v>2188.365667</v>
      </c>
      <c r="Y131" s="11"/>
      <c r="Z131" s="173"/>
    </row>
    <row r="132" spans="1:26" ht="15.75" hidden="1">
      <c r="A132" s="129"/>
      <c r="B132" s="189">
        <v>0.3</v>
      </c>
      <c r="C132" s="452">
        <f t="shared" si="13"/>
        <v>2323.4815820000003</v>
      </c>
      <c r="D132" s="491">
        <v>2323.4815820000003</v>
      </c>
      <c r="E132" s="491">
        <v>946.3237195999999</v>
      </c>
      <c r="F132" s="491">
        <v>1125.6882904</v>
      </c>
      <c r="G132" s="491">
        <v>937.9421975999998</v>
      </c>
      <c r="H132" s="491">
        <v>889.3293699999999</v>
      </c>
      <c r="I132" s="491">
        <v>305</v>
      </c>
      <c r="J132" s="491">
        <v>2030.3667487999996</v>
      </c>
      <c r="K132" s="491">
        <v>1687.95113</v>
      </c>
      <c r="L132" s="451">
        <f t="shared" si="14"/>
        <v>2030.3667487999996</v>
      </c>
      <c r="M132" s="127">
        <f t="shared" si="15"/>
        <v>2323.4815820000003</v>
      </c>
      <c r="N132" s="127">
        <f t="shared" si="16"/>
        <v>2323.4815820000003</v>
      </c>
      <c r="O132" s="127">
        <f t="shared" si="17"/>
        <v>2323.4815820000003</v>
      </c>
      <c r="P132" s="127">
        <f t="shared" si="18"/>
        <v>2323.4815820000003</v>
      </c>
      <c r="Q132" s="127">
        <f t="shared" si="19"/>
        <v>2323.4815820000003</v>
      </c>
      <c r="Y132" s="11"/>
      <c r="Z132" s="173"/>
    </row>
    <row r="133" spans="1:26" ht="15.75" hidden="1">
      <c r="A133" s="129"/>
      <c r="B133" s="189">
        <v>0.4</v>
      </c>
      <c r="C133" s="452">
        <f t="shared" si="13"/>
        <v>2105.706519</v>
      </c>
      <c r="D133" s="491">
        <v>2105.706519</v>
      </c>
      <c r="E133" s="491">
        <v>1006.6706779999998</v>
      </c>
      <c r="F133" s="491">
        <v>1165.919596</v>
      </c>
      <c r="G133" s="491">
        <v>966.2277999999999</v>
      </c>
      <c r="H133" s="491">
        <v>889.3293699999999</v>
      </c>
      <c r="I133" s="491">
        <v>858.180452</v>
      </c>
      <c r="J133" s="491">
        <v>2270.4540014</v>
      </c>
      <c r="K133" s="491">
        <v>1885.7550491999998</v>
      </c>
      <c r="L133" s="451">
        <f t="shared" si="14"/>
        <v>2270.4540014</v>
      </c>
      <c r="M133" s="127">
        <f t="shared" si="15"/>
        <v>2105.706519</v>
      </c>
      <c r="N133" s="127">
        <f t="shared" si="16"/>
        <v>2105.706519</v>
      </c>
      <c r="O133" s="127">
        <f t="shared" si="17"/>
        <v>2105.706519</v>
      </c>
      <c r="P133" s="127">
        <f t="shared" si="18"/>
        <v>2105.706519</v>
      </c>
      <c r="Q133" s="127">
        <f t="shared" si="19"/>
        <v>2105.706519</v>
      </c>
      <c r="Y133" s="11"/>
      <c r="Z133" s="173"/>
    </row>
    <row r="134" spans="1:26" ht="15.75" hidden="1">
      <c r="A134" s="129"/>
      <c r="B134" s="189">
        <v>0.5</v>
      </c>
      <c r="C134" s="452">
        <f t="shared" si="13"/>
        <v>1846.6018820000002</v>
      </c>
      <c r="D134" s="491">
        <v>1846.6018820000002</v>
      </c>
      <c r="E134" s="491">
        <v>1087.1332891999998</v>
      </c>
      <c r="F134" s="491">
        <v>1165.919596</v>
      </c>
      <c r="G134" s="491">
        <v>966.4393723999998</v>
      </c>
      <c r="H134" s="491">
        <v>889.3293699999999</v>
      </c>
      <c r="I134" s="491">
        <v>858.180452</v>
      </c>
      <c r="J134" s="491">
        <v>2409.0959359999997</v>
      </c>
      <c r="K134" s="491">
        <v>2023.2120099999997</v>
      </c>
      <c r="L134" s="451">
        <f t="shared" si="14"/>
        <v>2409.0959359999997</v>
      </c>
      <c r="M134" s="127">
        <f t="shared" si="15"/>
        <v>1846.6018820000002</v>
      </c>
      <c r="N134" s="127">
        <f t="shared" si="16"/>
        <v>1846.6018820000002</v>
      </c>
      <c r="O134" s="127">
        <f t="shared" si="17"/>
        <v>1846.6018820000002</v>
      </c>
      <c r="P134" s="127">
        <f t="shared" si="18"/>
        <v>1846.6018820000002</v>
      </c>
      <c r="Q134" s="127">
        <f t="shared" si="19"/>
        <v>1846.6018820000002</v>
      </c>
      <c r="Y134" s="11"/>
      <c r="Z134" s="173"/>
    </row>
    <row r="135" spans="1:26" ht="15.75" hidden="1">
      <c r="A135" s="129"/>
      <c r="B135" s="189">
        <v>0.6</v>
      </c>
      <c r="C135" s="452">
        <f t="shared" si="13"/>
        <v>1856.1394759999998</v>
      </c>
      <c r="D135" s="491">
        <v>1856.1394759999998</v>
      </c>
      <c r="E135" s="491">
        <v>1036.8441572</v>
      </c>
      <c r="F135" s="491">
        <v>1204.4745971999998</v>
      </c>
      <c r="G135" s="491">
        <v>979.8498075999998</v>
      </c>
      <c r="H135" s="491">
        <v>927.8843711999999</v>
      </c>
      <c r="I135" s="491">
        <v>936.9667588</v>
      </c>
      <c r="J135" s="491">
        <v>2549.4286259</v>
      </c>
      <c r="K135" s="491">
        <v>2083.5589683999997</v>
      </c>
      <c r="L135" s="451">
        <f t="shared" si="14"/>
        <v>2549.4286259</v>
      </c>
      <c r="M135" s="127">
        <f t="shared" si="15"/>
        <v>1856.1394759999998</v>
      </c>
      <c r="N135" s="127">
        <f t="shared" si="16"/>
        <v>1856.1394759999998</v>
      </c>
      <c r="O135" s="127">
        <f t="shared" si="17"/>
        <v>1856.1394759999998</v>
      </c>
      <c r="P135" s="127">
        <f t="shared" si="18"/>
        <v>1856.1394759999998</v>
      </c>
      <c r="Q135" s="127">
        <f t="shared" si="19"/>
        <v>1856.1394759999998</v>
      </c>
      <c r="Y135" s="11"/>
      <c r="Z135" s="173"/>
    </row>
    <row r="136" spans="1:26" ht="15.75" hidden="1">
      <c r="A136" s="129"/>
      <c r="B136" s="189">
        <v>0.7</v>
      </c>
      <c r="C136" s="452">
        <f t="shared" si="13"/>
        <v>1778.2491249999998</v>
      </c>
      <c r="D136" s="491">
        <v>1778.2491249999998</v>
      </c>
      <c r="E136" s="491">
        <v>1303.3765567999997</v>
      </c>
      <c r="F136" s="491">
        <v>1618.5217839999998</v>
      </c>
      <c r="G136" s="491">
        <v>1087.1332891999998</v>
      </c>
      <c r="H136" s="491">
        <v>927.8843711999999</v>
      </c>
      <c r="I136" s="491">
        <v>936.9667588</v>
      </c>
      <c r="J136" s="491">
        <v>2608.6050613999996</v>
      </c>
      <c r="K136" s="491">
        <v>2143.9059267999996</v>
      </c>
      <c r="L136" s="451">
        <f t="shared" si="14"/>
        <v>2608.6050613999996</v>
      </c>
      <c r="M136" s="127">
        <f t="shared" si="15"/>
        <v>1778.2491249999998</v>
      </c>
      <c r="N136" s="127">
        <f t="shared" si="16"/>
        <v>1778.2491249999998</v>
      </c>
      <c r="O136" s="127">
        <f t="shared" si="17"/>
        <v>1778.2491249999998</v>
      </c>
      <c r="P136" s="127">
        <f t="shared" si="18"/>
        <v>1778.2491249999998</v>
      </c>
      <c r="Q136" s="127">
        <f t="shared" si="19"/>
        <v>1778.2491249999998</v>
      </c>
      <c r="Y136" s="11"/>
      <c r="Z136" s="173"/>
    </row>
    <row r="137" spans="1:26" ht="15.75" hidden="1">
      <c r="A137" s="129"/>
      <c r="B137" s="189">
        <v>0.8</v>
      </c>
      <c r="C137" s="452">
        <f t="shared" si="13"/>
        <v>2116.833712</v>
      </c>
      <c r="D137" s="491">
        <v>2116.833712</v>
      </c>
      <c r="E137" s="491">
        <v>1541.4117816</v>
      </c>
      <c r="F137" s="491">
        <v>1739.2157007999997</v>
      </c>
      <c r="G137" s="491">
        <v>1519.6198243999997</v>
      </c>
      <c r="H137" s="491">
        <v>1283.260904</v>
      </c>
      <c r="I137" s="491">
        <v>1017.42937</v>
      </c>
      <c r="J137" s="491">
        <v>2726.9579323999997</v>
      </c>
      <c r="K137" s="491">
        <v>2182.460928</v>
      </c>
      <c r="L137" s="451">
        <f t="shared" si="14"/>
        <v>2726.9579323999997</v>
      </c>
      <c r="M137" s="127">
        <f t="shared" si="15"/>
        <v>2116.833712</v>
      </c>
      <c r="N137" s="127">
        <f t="shared" si="16"/>
        <v>2116.833712</v>
      </c>
      <c r="O137" s="127">
        <f t="shared" si="17"/>
        <v>2116.833712</v>
      </c>
      <c r="P137" s="127">
        <f t="shared" si="18"/>
        <v>2116.833712</v>
      </c>
      <c r="Q137" s="127">
        <f t="shared" si="19"/>
        <v>2116.833712</v>
      </c>
      <c r="Y137" s="11"/>
      <c r="Z137" s="173"/>
    </row>
    <row r="138" spans="1:26" ht="15.75" hidden="1">
      <c r="A138" s="129"/>
      <c r="B138" s="189">
        <v>1</v>
      </c>
      <c r="C138" s="452">
        <f t="shared" si="13"/>
        <v>2603.2510059999995</v>
      </c>
      <c r="D138" s="491">
        <v>2603.2510059999995</v>
      </c>
      <c r="E138" s="491">
        <v>1895.1120099999996</v>
      </c>
      <c r="F138" s="491">
        <v>1796.2100503999998</v>
      </c>
      <c r="G138" s="491">
        <v>1481.0648231999996</v>
      </c>
      <c r="H138" s="491">
        <v>1402.2785164</v>
      </c>
      <c r="I138" s="491">
        <v>1017.42937</v>
      </c>
      <c r="J138" s="491">
        <v>2867.2906222999995</v>
      </c>
      <c r="K138" s="491">
        <v>2239.4552776</v>
      </c>
      <c r="L138" s="451">
        <f t="shared" si="14"/>
        <v>2867.2906222999995</v>
      </c>
      <c r="M138" s="127">
        <f t="shared" si="15"/>
        <v>2603.2510059999995</v>
      </c>
      <c r="N138" s="127">
        <f t="shared" si="16"/>
        <v>2603.2510059999995</v>
      </c>
      <c r="O138" s="127">
        <f t="shared" si="17"/>
        <v>2603.2510059999995</v>
      </c>
      <c r="P138" s="127">
        <f t="shared" si="18"/>
        <v>2603.2510059999995</v>
      </c>
      <c r="Q138" s="127">
        <f t="shared" si="19"/>
        <v>2603.2510059999995</v>
      </c>
      <c r="Y138" s="11"/>
      <c r="Z138" s="173"/>
    </row>
    <row r="139" spans="1:26" ht="15.75" hidden="1">
      <c r="A139" s="129"/>
      <c r="B139" s="189">
        <v>1.1</v>
      </c>
      <c r="C139" s="452">
        <f t="shared" si="13"/>
        <v>2902.095618</v>
      </c>
      <c r="D139" s="491">
        <v>2902.095618</v>
      </c>
      <c r="E139" s="491">
        <v>2133.1472347999998</v>
      </c>
      <c r="F139" s="491">
        <v>1876.6726615999999</v>
      </c>
      <c r="G139" s="491">
        <v>1481.0648231999996</v>
      </c>
      <c r="H139" s="491">
        <v>1442.509822</v>
      </c>
      <c r="I139" s="491">
        <v>1055.9843712</v>
      </c>
      <c r="J139" s="491">
        <v>2967.045185</v>
      </c>
      <c r="K139" s="491">
        <v>2299.8022359999995</v>
      </c>
      <c r="L139" s="451">
        <f t="shared" si="14"/>
        <v>2967.045185</v>
      </c>
      <c r="M139" s="127">
        <f t="shared" si="15"/>
        <v>2902.095618</v>
      </c>
      <c r="N139" s="127">
        <f t="shared" si="16"/>
        <v>2902.095618</v>
      </c>
      <c r="O139" s="127">
        <f t="shared" si="17"/>
        <v>2902.095618</v>
      </c>
      <c r="P139" s="127">
        <f t="shared" si="18"/>
        <v>2902.095618</v>
      </c>
      <c r="Q139" s="127">
        <f t="shared" si="19"/>
        <v>2902.095618</v>
      </c>
      <c r="Y139" s="11"/>
      <c r="Z139" s="173"/>
    </row>
    <row r="140" spans="1:26" ht="16.5" hidden="1" thickBot="1">
      <c r="A140" s="129"/>
      <c r="B140" s="190">
        <v>1.2</v>
      </c>
      <c r="C140" s="453">
        <f t="shared" si="13"/>
        <v>2997.471558</v>
      </c>
      <c r="D140" s="491">
        <v>2997.471558</v>
      </c>
      <c r="E140" s="491">
        <v>2193.4941932</v>
      </c>
      <c r="F140" s="491">
        <v>2072.8002764</v>
      </c>
      <c r="G140" s="491">
        <v>1501.180476</v>
      </c>
      <c r="H140" s="491">
        <v>1481.0648231999996</v>
      </c>
      <c r="I140" s="491">
        <v>1055.9843712</v>
      </c>
      <c r="J140" s="491">
        <v>2987.3342485999992</v>
      </c>
      <c r="K140" s="491">
        <v>2321.5941932</v>
      </c>
      <c r="L140" s="451">
        <f t="shared" si="14"/>
        <v>2987.3342485999992</v>
      </c>
      <c r="M140" s="127">
        <f t="shared" si="15"/>
        <v>2997.471558</v>
      </c>
      <c r="N140" s="127">
        <f t="shared" si="16"/>
        <v>2997.471558</v>
      </c>
      <c r="O140" s="127">
        <f t="shared" si="17"/>
        <v>2997.471558</v>
      </c>
      <c r="P140" s="127">
        <f t="shared" si="18"/>
        <v>2997.471558</v>
      </c>
      <c r="Q140" s="127">
        <f t="shared" si="19"/>
        <v>2997.471558</v>
      </c>
      <c r="Y140" s="11"/>
      <c r="Z140" s="173"/>
    </row>
    <row r="141" spans="1:26" ht="15.75" hidden="1">
      <c r="A141" s="129"/>
      <c r="B141" s="130"/>
      <c r="C141" s="131"/>
      <c r="D141" s="361"/>
      <c r="E141" s="131"/>
      <c r="F141" s="131"/>
      <c r="G141" s="130"/>
      <c r="H141" s="131"/>
      <c r="I141" s="2"/>
      <c r="J141" s="2"/>
      <c r="K141" s="2"/>
      <c r="Y141" s="11"/>
      <c r="Z141" s="173"/>
    </row>
    <row r="142" spans="1:26" ht="15.75" hidden="1">
      <c r="A142" s="129"/>
      <c r="B142" s="130"/>
      <c r="C142" s="131"/>
      <c r="D142" s="361"/>
      <c r="E142" s="131"/>
      <c r="F142" s="131"/>
      <c r="G142" s="130"/>
      <c r="H142" s="131"/>
      <c r="I142" s="2"/>
      <c r="J142" s="2"/>
      <c r="K142" s="2"/>
      <c r="Y142" s="11"/>
      <c r="Z142" s="173"/>
    </row>
    <row r="143" spans="1:26" ht="21" hidden="1" thickBot="1">
      <c r="A143" s="129"/>
      <c r="B143" s="130"/>
      <c r="C143" s="131"/>
      <c r="D143" s="361"/>
      <c r="E143" s="131"/>
      <c r="F143" s="512">
        <v>42217</v>
      </c>
      <c r="G143" s="130"/>
      <c r="H143" s="131"/>
      <c r="I143" s="2"/>
      <c r="J143" s="2"/>
      <c r="K143" s="2"/>
      <c r="Y143" s="11"/>
      <c r="Z143" s="173"/>
    </row>
    <row r="144" spans="1:26" ht="17.25" hidden="1" thickBot="1" thickTop="1">
      <c r="A144" s="129"/>
      <c r="B144" s="130"/>
      <c r="C144" s="448" t="s">
        <v>354</v>
      </c>
      <c r="D144" s="17" t="s">
        <v>356</v>
      </c>
      <c r="E144" s="17" t="s">
        <v>357</v>
      </c>
      <c r="F144" s="449" t="s">
        <v>358</v>
      </c>
      <c r="G144" s="450" t="s">
        <v>359</v>
      </c>
      <c r="H144" s="449" t="s">
        <v>360</v>
      </c>
      <c r="I144" s="449" t="s">
        <v>361</v>
      </c>
      <c r="J144" s="449" t="s">
        <v>362</v>
      </c>
      <c r="K144" s="449" t="s">
        <v>363</v>
      </c>
      <c r="L144" s="126" t="s">
        <v>364</v>
      </c>
      <c r="M144" s="126">
        <v>1</v>
      </c>
      <c r="N144" s="126">
        <v>2</v>
      </c>
      <c r="O144" s="126">
        <v>3</v>
      </c>
      <c r="P144" s="126">
        <v>4</v>
      </c>
      <c r="Q144" s="126">
        <v>5</v>
      </c>
      <c r="Y144" s="11"/>
      <c r="Z144" s="173"/>
    </row>
    <row r="145" spans="1:26" ht="15.75" hidden="1">
      <c r="A145" s="129"/>
      <c r="B145" s="187">
        <v>0</v>
      </c>
      <c r="C145" s="452">
        <f aca="true" t="shared" si="20" ref="C145:C156">IF(puntosproljor&lt;620,Q145,L145)</f>
        <v>1493.9247986700002</v>
      </c>
      <c r="D145" s="491">
        <v>1493.9247986700002</v>
      </c>
      <c r="E145" s="491">
        <v>546.170202192</v>
      </c>
      <c r="F145" s="491">
        <v>196.35900000000004</v>
      </c>
      <c r="G145" s="491">
        <v>196.35900000000004</v>
      </c>
      <c r="H145" s="491">
        <v>196.35900000000004</v>
      </c>
      <c r="I145" s="491">
        <v>338.55</v>
      </c>
      <c r="J145" s="491">
        <v>924.976316004</v>
      </c>
      <c r="K145" s="491">
        <v>688.361202192</v>
      </c>
      <c r="L145" s="451">
        <f aca="true" t="shared" si="21" ref="L145:L156">IF(PUNTOSbasicos&gt;971,K145,J145)</f>
        <v>924.976316004</v>
      </c>
      <c r="M145" s="127">
        <f aca="true" t="shared" si="22" ref="M145:M156">IF(PUNTOSbasicos&lt;972,D145,E145)</f>
        <v>1493.9247986700002</v>
      </c>
      <c r="N145" s="127">
        <f aca="true" t="shared" si="23" ref="N145:N156">IF(PUNTOSbasicos&lt;1170,M145,F145)</f>
        <v>1493.9247986700002</v>
      </c>
      <c r="O145" s="127">
        <f aca="true" t="shared" si="24" ref="O145:O156">IF(PUNTOSbasicos&lt;1401,N145,G145)</f>
        <v>1493.9247986700002</v>
      </c>
      <c r="P145" s="127">
        <f aca="true" t="shared" si="25" ref="P145:P156">IF(PUNTOSbasicos&lt;1943,O145,H145)</f>
        <v>1493.9247986700002</v>
      </c>
      <c r="Q145" s="127">
        <f aca="true" t="shared" si="26" ref="Q145:Q156">IF(PUNTOSbasicos&lt;=2220,P145,I145)</f>
        <v>1493.9247986700002</v>
      </c>
      <c r="Y145" s="11"/>
      <c r="Z145" s="173"/>
    </row>
    <row r="146" spans="1:26" ht="15.75" hidden="1">
      <c r="A146" s="129"/>
      <c r="B146" s="188">
        <v>0.1</v>
      </c>
      <c r="C146" s="452">
        <f t="shared" si="20"/>
        <v>2069.13709281</v>
      </c>
      <c r="D146" s="491">
        <v>2069.13709281</v>
      </c>
      <c r="E146" s="491">
        <v>590.826951408</v>
      </c>
      <c r="F146" s="491">
        <v>196.35900000000004</v>
      </c>
      <c r="G146" s="491">
        <v>196.35900000000004</v>
      </c>
      <c r="H146" s="491">
        <v>196.35900000000004</v>
      </c>
      <c r="I146" s="491">
        <v>338.55</v>
      </c>
      <c r="J146" s="491">
        <v>970.018037196</v>
      </c>
      <c r="K146" s="491">
        <v>733.017951408</v>
      </c>
      <c r="L146" s="451">
        <f t="shared" si="21"/>
        <v>970.018037196</v>
      </c>
      <c r="M146" s="127">
        <f t="shared" si="22"/>
        <v>2069.13709281</v>
      </c>
      <c r="N146" s="127">
        <f t="shared" si="23"/>
        <v>2069.13709281</v>
      </c>
      <c r="O146" s="127">
        <f t="shared" si="24"/>
        <v>2069.13709281</v>
      </c>
      <c r="P146" s="127">
        <f t="shared" si="25"/>
        <v>2069.13709281</v>
      </c>
      <c r="Q146" s="127">
        <f t="shared" si="26"/>
        <v>2069.13709281</v>
      </c>
      <c r="Y146" s="11"/>
      <c r="Z146" s="173"/>
    </row>
    <row r="147" spans="1:26" ht="15.75" hidden="1">
      <c r="A147" s="129"/>
      <c r="B147" s="189">
        <v>0.15</v>
      </c>
      <c r="C147" s="452">
        <f t="shared" si="20"/>
        <v>2429.0858903700005</v>
      </c>
      <c r="D147" s="491">
        <v>2429.0858903700005</v>
      </c>
      <c r="E147" s="491">
        <v>987.1556007</v>
      </c>
      <c r="F147" s="491">
        <v>1249.5140023440001</v>
      </c>
      <c r="G147" s="491">
        <v>1041.115839336</v>
      </c>
      <c r="H147" s="491">
        <v>987.1556007</v>
      </c>
      <c r="I147" s="491">
        <v>338.55</v>
      </c>
      <c r="J147" s="491">
        <v>1544.299982394</v>
      </c>
      <c r="K147" s="491">
        <v>1302.3915039119997</v>
      </c>
      <c r="L147" s="451">
        <f t="shared" si="21"/>
        <v>1544.299982394</v>
      </c>
      <c r="M147" s="127">
        <f t="shared" si="22"/>
        <v>2429.0858903700005</v>
      </c>
      <c r="N147" s="127">
        <f t="shared" si="23"/>
        <v>2429.0858903700005</v>
      </c>
      <c r="O147" s="127">
        <f t="shared" si="24"/>
        <v>2429.0858903700005</v>
      </c>
      <c r="P147" s="127">
        <f t="shared" si="25"/>
        <v>2429.0858903700005</v>
      </c>
      <c r="Q147" s="127">
        <f t="shared" si="26"/>
        <v>2429.0858903700005</v>
      </c>
      <c r="Y147" s="11"/>
      <c r="Z147" s="173"/>
    </row>
    <row r="148" spans="1:26" ht="15.75" hidden="1">
      <c r="A148" s="129"/>
      <c r="B148" s="189">
        <v>0.3</v>
      </c>
      <c r="C148" s="452">
        <f t="shared" si="20"/>
        <v>2579.0645560200005</v>
      </c>
      <c r="D148" s="491">
        <v>2579.0645560200005</v>
      </c>
      <c r="E148" s="491">
        <v>1050.419328756</v>
      </c>
      <c r="F148" s="491">
        <v>1249.5140023440001</v>
      </c>
      <c r="G148" s="491">
        <v>1041.115839336</v>
      </c>
      <c r="H148" s="491">
        <v>987.1556007</v>
      </c>
      <c r="I148" s="491">
        <v>338.55</v>
      </c>
      <c r="J148" s="491">
        <v>2253.707091168</v>
      </c>
      <c r="K148" s="491">
        <v>1873.6257543000002</v>
      </c>
      <c r="L148" s="451">
        <f t="shared" si="21"/>
        <v>2253.707091168</v>
      </c>
      <c r="M148" s="127">
        <f t="shared" si="22"/>
        <v>2579.0645560200005</v>
      </c>
      <c r="N148" s="127">
        <f t="shared" si="23"/>
        <v>2579.0645560200005</v>
      </c>
      <c r="O148" s="127">
        <f t="shared" si="24"/>
        <v>2579.0645560200005</v>
      </c>
      <c r="P148" s="127">
        <f t="shared" si="25"/>
        <v>2579.0645560200005</v>
      </c>
      <c r="Q148" s="127">
        <f t="shared" si="26"/>
        <v>2579.0645560200005</v>
      </c>
      <c r="Y148" s="11"/>
      <c r="Z148" s="173"/>
    </row>
    <row r="149" spans="1:26" ht="15.75" hidden="1">
      <c r="A149" s="129"/>
      <c r="B149" s="189">
        <v>0.4</v>
      </c>
      <c r="C149" s="452">
        <f t="shared" si="20"/>
        <v>2337.33423609</v>
      </c>
      <c r="D149" s="491">
        <v>2337.33423609</v>
      </c>
      <c r="E149" s="491">
        <v>1117.40445258</v>
      </c>
      <c r="F149" s="491">
        <v>1294.17075156</v>
      </c>
      <c r="G149" s="491">
        <v>1072.512858</v>
      </c>
      <c r="H149" s="491">
        <v>987.1556007</v>
      </c>
      <c r="I149" s="491">
        <v>952.5803017200001</v>
      </c>
      <c r="J149" s="491">
        <v>2520.2039415540003</v>
      </c>
      <c r="K149" s="491">
        <v>2093.188104612</v>
      </c>
      <c r="L149" s="451">
        <f t="shared" si="21"/>
        <v>2520.2039415540003</v>
      </c>
      <c r="M149" s="127">
        <f t="shared" si="22"/>
        <v>2337.33423609</v>
      </c>
      <c r="N149" s="127">
        <f t="shared" si="23"/>
        <v>2337.33423609</v>
      </c>
      <c r="O149" s="127">
        <f t="shared" si="24"/>
        <v>2337.33423609</v>
      </c>
      <c r="P149" s="127">
        <f t="shared" si="25"/>
        <v>2337.33423609</v>
      </c>
      <c r="Q149" s="127">
        <f t="shared" si="26"/>
        <v>2337.33423609</v>
      </c>
      <c r="Y149" s="11"/>
      <c r="Z149" s="173"/>
    </row>
    <row r="150" spans="1:26" ht="15.75" hidden="1">
      <c r="A150" s="129"/>
      <c r="B150" s="189">
        <v>0.5</v>
      </c>
      <c r="C150" s="452">
        <f t="shared" si="20"/>
        <v>2049.7280890200004</v>
      </c>
      <c r="D150" s="491">
        <v>2049.7280890200004</v>
      </c>
      <c r="E150" s="491">
        <v>1206.717951012</v>
      </c>
      <c r="F150" s="491">
        <v>1294.17075156</v>
      </c>
      <c r="G150" s="491">
        <v>1072.7477033639998</v>
      </c>
      <c r="H150" s="491">
        <v>987.1556007</v>
      </c>
      <c r="I150" s="491">
        <v>952.5803017200001</v>
      </c>
      <c r="J150" s="491">
        <v>2674.09648896</v>
      </c>
      <c r="K150" s="491">
        <v>2245.7653311</v>
      </c>
      <c r="L150" s="451">
        <f t="shared" si="21"/>
        <v>2674.09648896</v>
      </c>
      <c r="M150" s="127">
        <f t="shared" si="22"/>
        <v>2049.7280890200004</v>
      </c>
      <c r="N150" s="127">
        <f t="shared" si="23"/>
        <v>2049.7280890200004</v>
      </c>
      <c r="O150" s="127">
        <f t="shared" si="24"/>
        <v>2049.7280890200004</v>
      </c>
      <c r="P150" s="127">
        <f t="shared" si="25"/>
        <v>2049.7280890200004</v>
      </c>
      <c r="Q150" s="127">
        <f t="shared" si="26"/>
        <v>2049.7280890200004</v>
      </c>
      <c r="Y150" s="11"/>
      <c r="Z150" s="173"/>
    </row>
    <row r="151" spans="1:26" ht="15.75" hidden="1">
      <c r="A151" s="129"/>
      <c r="B151" s="189">
        <v>0.6</v>
      </c>
      <c r="C151" s="452">
        <f t="shared" si="20"/>
        <v>2060.31481836</v>
      </c>
      <c r="D151" s="491">
        <v>2060.31481836</v>
      </c>
      <c r="E151" s="491">
        <v>1150.897014492</v>
      </c>
      <c r="F151" s="491">
        <v>1336.966802892</v>
      </c>
      <c r="G151" s="491">
        <v>1087.633286436</v>
      </c>
      <c r="H151" s="491">
        <v>1029.951652032</v>
      </c>
      <c r="I151" s="491">
        <v>1040.033102268</v>
      </c>
      <c r="J151" s="491">
        <v>2829.865774749</v>
      </c>
      <c r="K151" s="491">
        <v>2312.7504549239998</v>
      </c>
      <c r="L151" s="451">
        <f t="shared" si="21"/>
        <v>2829.865774749</v>
      </c>
      <c r="M151" s="127">
        <f t="shared" si="22"/>
        <v>2060.31481836</v>
      </c>
      <c r="N151" s="127">
        <f t="shared" si="23"/>
        <v>2060.31481836</v>
      </c>
      <c r="O151" s="127">
        <f t="shared" si="24"/>
        <v>2060.31481836</v>
      </c>
      <c r="P151" s="127">
        <f t="shared" si="25"/>
        <v>2060.31481836</v>
      </c>
      <c r="Q151" s="127">
        <f t="shared" si="26"/>
        <v>2060.31481836</v>
      </c>
      <c r="Y151" s="11"/>
      <c r="Z151" s="173"/>
    </row>
    <row r="152" spans="1:26" ht="15.75" hidden="1">
      <c r="A152" s="129"/>
      <c r="B152" s="189">
        <v>0.7</v>
      </c>
      <c r="C152" s="452">
        <f t="shared" si="20"/>
        <v>1973.85652875</v>
      </c>
      <c r="D152" s="491">
        <v>1973.85652875</v>
      </c>
      <c r="E152" s="491">
        <v>1446.7479780479998</v>
      </c>
      <c r="F152" s="491">
        <v>1796.55918024</v>
      </c>
      <c r="G152" s="491">
        <v>1206.717951012</v>
      </c>
      <c r="H152" s="491">
        <v>1029.951652032</v>
      </c>
      <c r="I152" s="491">
        <v>1040.033102268</v>
      </c>
      <c r="J152" s="491">
        <v>2895.5516181539997</v>
      </c>
      <c r="K152" s="491">
        <v>2379.7355787479996</v>
      </c>
      <c r="L152" s="451">
        <f t="shared" si="21"/>
        <v>2895.5516181539997</v>
      </c>
      <c r="M152" s="127">
        <f t="shared" si="22"/>
        <v>1973.85652875</v>
      </c>
      <c r="N152" s="127">
        <f t="shared" si="23"/>
        <v>1973.85652875</v>
      </c>
      <c r="O152" s="127">
        <f t="shared" si="24"/>
        <v>1973.85652875</v>
      </c>
      <c r="P152" s="127">
        <f t="shared" si="25"/>
        <v>1973.85652875</v>
      </c>
      <c r="Q152" s="127">
        <f t="shared" si="26"/>
        <v>1973.85652875</v>
      </c>
      <c r="Y152" s="11"/>
      <c r="Z152" s="173"/>
    </row>
    <row r="153" spans="1:26" ht="15.75" hidden="1">
      <c r="A153" s="129"/>
      <c r="B153" s="189">
        <v>0.8</v>
      </c>
      <c r="C153" s="452">
        <f t="shared" si="20"/>
        <v>2349.6854203200005</v>
      </c>
      <c r="D153" s="491">
        <v>2349.6854203200005</v>
      </c>
      <c r="E153" s="491">
        <v>1710.9670775760003</v>
      </c>
      <c r="F153" s="491">
        <v>1930.5294278879999</v>
      </c>
      <c r="G153" s="491">
        <v>1686.778005084</v>
      </c>
      <c r="H153" s="491">
        <v>1424.4196034400002</v>
      </c>
      <c r="I153" s="491">
        <v>1129.3466007</v>
      </c>
      <c r="J153" s="491">
        <v>3026.9233049639997</v>
      </c>
      <c r="K153" s="491">
        <v>2422.53163008</v>
      </c>
      <c r="L153" s="451">
        <f t="shared" si="21"/>
        <v>3026.9233049639997</v>
      </c>
      <c r="M153" s="127">
        <f t="shared" si="22"/>
        <v>2349.6854203200005</v>
      </c>
      <c r="N153" s="127">
        <f t="shared" si="23"/>
        <v>2349.6854203200005</v>
      </c>
      <c r="O153" s="127">
        <f t="shared" si="24"/>
        <v>2349.6854203200005</v>
      </c>
      <c r="P153" s="127">
        <f t="shared" si="25"/>
        <v>2349.6854203200005</v>
      </c>
      <c r="Q153" s="127">
        <f t="shared" si="26"/>
        <v>2349.6854203200005</v>
      </c>
      <c r="Y153" s="11"/>
      <c r="Z153" s="173"/>
    </row>
    <row r="154" spans="1:26" ht="15.75" hidden="1">
      <c r="A154" s="129"/>
      <c r="B154" s="189">
        <v>1</v>
      </c>
      <c r="C154" s="452">
        <f t="shared" si="20"/>
        <v>2889.60861666</v>
      </c>
      <c r="D154" s="491">
        <v>2889.60861666</v>
      </c>
      <c r="E154" s="491">
        <v>2103.5743310999997</v>
      </c>
      <c r="F154" s="491">
        <v>1993.7931559439999</v>
      </c>
      <c r="G154" s="491">
        <v>1643.9819537519998</v>
      </c>
      <c r="H154" s="491">
        <v>1556.529153204</v>
      </c>
      <c r="I154" s="491">
        <v>1129.3466007</v>
      </c>
      <c r="J154" s="491">
        <v>3182.692590753</v>
      </c>
      <c r="K154" s="491">
        <v>2485.7953581360002</v>
      </c>
      <c r="L154" s="451">
        <f t="shared" si="21"/>
        <v>3182.692590753</v>
      </c>
      <c r="M154" s="127">
        <f t="shared" si="22"/>
        <v>2889.60861666</v>
      </c>
      <c r="N154" s="127">
        <f t="shared" si="23"/>
        <v>2889.60861666</v>
      </c>
      <c r="O154" s="127">
        <f t="shared" si="24"/>
        <v>2889.60861666</v>
      </c>
      <c r="P154" s="127">
        <f t="shared" si="25"/>
        <v>2889.60861666</v>
      </c>
      <c r="Q154" s="127">
        <f t="shared" si="26"/>
        <v>2889.60861666</v>
      </c>
      <c r="Y154" s="11"/>
      <c r="Z154" s="173"/>
    </row>
    <row r="155" spans="1:26" ht="15.75" hidden="1">
      <c r="A155" s="129"/>
      <c r="B155" s="189">
        <v>1.1</v>
      </c>
      <c r="C155" s="452">
        <f t="shared" si="20"/>
        <v>3221.32613598</v>
      </c>
      <c r="D155" s="491">
        <v>3221.32613598</v>
      </c>
      <c r="E155" s="491">
        <v>2367.793430628</v>
      </c>
      <c r="F155" s="491">
        <v>2083.106654376</v>
      </c>
      <c r="G155" s="491">
        <v>1643.9819537519998</v>
      </c>
      <c r="H155" s="491">
        <v>1601.18590242</v>
      </c>
      <c r="I155" s="491">
        <v>1172.1426520320001</v>
      </c>
      <c r="J155" s="491">
        <v>3293.42015535</v>
      </c>
      <c r="K155" s="491">
        <v>2552.7804819599996</v>
      </c>
      <c r="L155" s="451">
        <f t="shared" si="21"/>
        <v>3293.42015535</v>
      </c>
      <c r="M155" s="127">
        <f t="shared" si="22"/>
        <v>3221.32613598</v>
      </c>
      <c r="N155" s="127">
        <f t="shared" si="23"/>
        <v>3221.32613598</v>
      </c>
      <c r="O155" s="127">
        <f t="shared" si="24"/>
        <v>3221.32613598</v>
      </c>
      <c r="P155" s="127">
        <f t="shared" si="25"/>
        <v>3221.32613598</v>
      </c>
      <c r="Q155" s="127">
        <f t="shared" si="26"/>
        <v>3221.32613598</v>
      </c>
      <c r="Y155" s="11"/>
      <c r="Z155" s="173"/>
    </row>
    <row r="156" spans="1:26" ht="16.5" hidden="1" thickBot="1">
      <c r="A156" s="129"/>
      <c r="B156" s="190">
        <v>1.2</v>
      </c>
      <c r="C156" s="453">
        <f t="shared" si="20"/>
        <v>3327.1934293800005</v>
      </c>
      <c r="D156" s="491">
        <v>3327.1934293800005</v>
      </c>
      <c r="E156" s="491">
        <v>2434.778554452</v>
      </c>
      <c r="F156" s="491">
        <v>2300.808306804</v>
      </c>
      <c r="G156" s="491">
        <v>1666.31032836</v>
      </c>
      <c r="H156" s="491">
        <v>1643.9819537519998</v>
      </c>
      <c r="I156" s="491">
        <v>1172.1426520320001</v>
      </c>
      <c r="J156" s="491">
        <v>3315.9410159459994</v>
      </c>
      <c r="K156" s="491">
        <v>2576.9695544520005</v>
      </c>
      <c r="L156" s="451">
        <f t="shared" si="21"/>
        <v>3315.9410159459994</v>
      </c>
      <c r="M156" s="127">
        <f t="shared" si="22"/>
        <v>3327.1934293800005</v>
      </c>
      <c r="N156" s="127">
        <f t="shared" si="23"/>
        <v>3327.1934293800005</v>
      </c>
      <c r="O156" s="127">
        <f t="shared" si="24"/>
        <v>3327.1934293800005</v>
      </c>
      <c r="P156" s="127">
        <f t="shared" si="25"/>
        <v>3327.1934293800005</v>
      </c>
      <c r="Q156" s="127">
        <f t="shared" si="26"/>
        <v>3327.1934293800005</v>
      </c>
      <c r="Y156" s="11"/>
      <c r="Z156" s="173"/>
    </row>
    <row r="157" spans="1:26" ht="15.75" hidden="1">
      <c r="A157" s="129"/>
      <c r="B157" s="130"/>
      <c r="C157" s="131"/>
      <c r="D157" s="361"/>
      <c r="E157" s="131"/>
      <c r="F157" s="131"/>
      <c r="G157" s="130"/>
      <c r="H157" s="131"/>
      <c r="I157" s="2"/>
      <c r="J157" s="2"/>
      <c r="K157" s="2"/>
      <c r="Y157" s="11"/>
      <c r="Z157" s="173"/>
    </row>
    <row r="158" spans="1:26" ht="15.75" hidden="1">
      <c r="A158" s="129"/>
      <c r="B158" s="130"/>
      <c r="C158" s="131"/>
      <c r="D158" s="361"/>
      <c r="E158" s="131"/>
      <c r="F158" s="131"/>
      <c r="G158" s="130"/>
      <c r="H158" s="131"/>
      <c r="I158" s="2"/>
      <c r="J158" s="2"/>
      <c r="K158" s="2"/>
      <c r="Y158" s="11"/>
      <c r="Z158" s="173"/>
    </row>
    <row r="159" spans="1:26" ht="15.75" hidden="1">
      <c r="A159" s="129"/>
      <c r="B159" s="130"/>
      <c r="C159" s="131"/>
      <c r="D159" s="361"/>
      <c r="E159" s="131"/>
      <c r="F159" s="131"/>
      <c r="G159" s="130"/>
      <c r="H159" s="131"/>
      <c r="I159" s="2"/>
      <c r="J159" s="2"/>
      <c r="K159" s="2"/>
      <c r="Y159" s="11"/>
      <c r="Z159" s="173"/>
    </row>
    <row r="160" spans="1:26" ht="15.75" hidden="1">
      <c r="A160" s="129"/>
      <c r="B160" s="130"/>
      <c r="C160" s="131"/>
      <c r="D160" s="361"/>
      <c r="E160" s="131"/>
      <c r="F160" s="131"/>
      <c r="G160" s="130"/>
      <c r="H160" s="131"/>
      <c r="I160" s="2"/>
      <c r="J160" s="2"/>
      <c r="K160" s="2"/>
      <c r="Y160" s="11"/>
      <c r="Z160" s="173"/>
    </row>
    <row r="161" spans="1:26" ht="15.75" hidden="1">
      <c r="A161" s="129"/>
      <c r="B161" s="130"/>
      <c r="C161" s="131"/>
      <c r="D161" s="361"/>
      <c r="E161" s="131"/>
      <c r="F161" s="131"/>
      <c r="G161" s="130"/>
      <c r="H161" s="131"/>
      <c r="I161" s="2"/>
      <c r="J161" s="2"/>
      <c r="K161" s="2"/>
      <c r="Y161" s="11"/>
      <c r="Z161" s="173"/>
    </row>
    <row r="162" spans="1:26" ht="15.75" hidden="1">
      <c r="A162" s="129"/>
      <c r="B162" s="130"/>
      <c r="C162" s="131"/>
      <c r="D162" s="361"/>
      <c r="E162" s="131"/>
      <c r="F162" s="131"/>
      <c r="G162" s="130"/>
      <c r="H162" s="131"/>
      <c r="I162" s="2"/>
      <c r="J162" s="2"/>
      <c r="K162" s="2"/>
      <c r="Y162" s="11"/>
      <c r="Z162" s="173"/>
    </row>
    <row r="163" spans="1:26" ht="15.75" hidden="1">
      <c r="A163" s="129"/>
      <c r="B163" s="130"/>
      <c r="C163" s="131"/>
      <c r="D163" s="361"/>
      <c r="E163" s="131"/>
      <c r="F163" s="131"/>
      <c r="G163" s="130"/>
      <c r="H163" s="131"/>
      <c r="I163" s="2"/>
      <c r="J163" s="2"/>
      <c r="K163" s="2"/>
      <c r="Y163" s="11"/>
      <c r="Z163" s="173"/>
    </row>
    <row r="164" spans="1:26" ht="15.75" hidden="1">
      <c r="A164" s="129"/>
      <c r="B164" s="130"/>
      <c r="C164" s="131"/>
      <c r="D164" s="361"/>
      <c r="E164" s="131"/>
      <c r="F164" s="131"/>
      <c r="G164" s="130"/>
      <c r="H164" s="131"/>
      <c r="I164" s="2"/>
      <c r="J164" s="2"/>
      <c r="K164" s="2"/>
      <c r="Y164" s="11"/>
      <c r="Z164" s="173"/>
    </row>
    <row r="165" spans="1:26" ht="15.75" hidden="1">
      <c r="A165" s="129"/>
      <c r="B165" s="130"/>
      <c r="C165" s="131"/>
      <c r="D165" s="361"/>
      <c r="E165" s="131"/>
      <c r="F165" s="131"/>
      <c r="G165" s="130"/>
      <c r="H165" s="131"/>
      <c r="I165" s="2"/>
      <c r="J165" s="2"/>
      <c r="K165" s="2"/>
      <c r="Y165" s="11"/>
      <c r="Z165" s="173"/>
    </row>
    <row r="166" spans="1:26" ht="15.75" hidden="1">
      <c r="A166" s="129"/>
      <c r="B166" s="130"/>
      <c r="C166" s="131"/>
      <c r="D166" s="361"/>
      <c r="E166" s="131"/>
      <c r="F166" s="131"/>
      <c r="G166" s="130"/>
      <c r="H166" s="131"/>
      <c r="I166" s="2"/>
      <c r="J166" s="2"/>
      <c r="K166" s="2"/>
      <c r="Y166" s="11"/>
      <c r="Z166" s="173"/>
    </row>
    <row r="167" spans="1:26" ht="15.75" hidden="1">
      <c r="A167" s="129"/>
      <c r="B167" s="130"/>
      <c r="C167" s="131"/>
      <c r="D167" s="361"/>
      <c r="E167" s="131"/>
      <c r="F167" s="131"/>
      <c r="G167" s="130"/>
      <c r="H167" s="131"/>
      <c r="I167" s="2"/>
      <c r="J167" s="2"/>
      <c r="K167" s="2"/>
      <c r="Y167" s="11"/>
      <c r="Z167" s="173"/>
    </row>
    <row r="168" spans="1:26" ht="15.75" hidden="1">
      <c r="A168" s="129"/>
      <c r="B168" s="130"/>
      <c r="C168" s="131"/>
      <c r="D168" s="361"/>
      <c r="E168" s="131"/>
      <c r="F168" s="131"/>
      <c r="G168" s="130"/>
      <c r="H168" s="131"/>
      <c r="I168" s="2"/>
      <c r="J168" s="2"/>
      <c r="K168" s="2"/>
      <c r="Y168" s="11"/>
      <c r="Z168" s="173"/>
    </row>
    <row r="169" spans="1:26" s="488" customFormat="1" ht="15.75" hidden="1">
      <c r="A169" s="484"/>
      <c r="B169" s="485"/>
      <c r="C169" s="486"/>
      <c r="D169" s="487"/>
      <c r="E169" s="486"/>
      <c r="F169" s="486"/>
      <c r="G169" s="485"/>
      <c r="H169" s="486"/>
      <c r="I169" s="486"/>
      <c r="J169" s="486"/>
      <c r="K169" s="486"/>
      <c r="Y169" s="486"/>
      <c r="Z169" s="489"/>
    </row>
    <row r="170" spans="1:26" s="488" customFormat="1" ht="15.75">
      <c r="A170" s="484"/>
      <c r="B170" s="485"/>
      <c r="C170" s="486"/>
      <c r="D170" s="487"/>
      <c r="E170" s="486"/>
      <c r="F170" s="486"/>
      <c r="G170" s="485"/>
      <c r="H170" s="486"/>
      <c r="I170" s="486"/>
      <c r="J170" s="486"/>
      <c r="K170" s="486"/>
      <c r="Y170" s="486"/>
      <c r="Z170" s="489"/>
    </row>
    <row r="171" spans="1:26" s="488" customFormat="1" ht="15.75">
      <c r="A171" s="484"/>
      <c r="B171" s="490"/>
      <c r="C171" s="486"/>
      <c r="D171" s="486"/>
      <c r="E171" s="486"/>
      <c r="F171" s="486"/>
      <c r="G171" s="485"/>
      <c r="H171" s="486"/>
      <c r="I171" s="486"/>
      <c r="J171" s="486"/>
      <c r="K171" s="486"/>
      <c r="Y171" s="486"/>
      <c r="Z171" s="489"/>
    </row>
    <row r="172" spans="2:26" s="67" customFormat="1" ht="15.75">
      <c r="B172" s="50"/>
      <c r="C172" s="125"/>
      <c r="D172" s="125"/>
      <c r="E172" s="11"/>
      <c r="F172" s="11"/>
      <c r="G172" s="68"/>
      <c r="H172" s="11"/>
      <c r="I172" s="11"/>
      <c r="J172" s="11"/>
      <c r="K172" s="11"/>
      <c r="Y172" s="11"/>
      <c r="Z172" s="173"/>
    </row>
    <row r="173" spans="1:26" ht="15.75">
      <c r="A173" s="271"/>
      <c r="B173" s="287"/>
      <c r="C173" s="288"/>
      <c r="D173" s="288"/>
      <c r="E173" s="434"/>
      <c r="F173" s="287"/>
      <c r="G173" s="288"/>
      <c r="H173" s="288"/>
      <c r="I173" s="2"/>
      <c r="J173" s="287"/>
      <c r="K173" s="288"/>
      <c r="L173" s="288"/>
      <c r="Y173" s="11"/>
      <c r="Z173" s="173"/>
    </row>
    <row r="174" spans="1:26" ht="20.25">
      <c r="A174" s="11"/>
      <c r="B174" s="155"/>
      <c r="C174" s="366" t="s">
        <v>325</v>
      </c>
      <c r="D174" s="155"/>
      <c r="E174" s="432"/>
      <c r="F174" s="155"/>
      <c r="G174" s="366" t="s">
        <v>325</v>
      </c>
      <c r="H174" s="155"/>
      <c r="I174" s="2"/>
      <c r="J174" s="155"/>
      <c r="K174" s="366" t="s">
        <v>325</v>
      </c>
      <c r="L174" s="155"/>
      <c r="Y174" s="11"/>
      <c r="Z174" s="173"/>
    </row>
    <row r="175" spans="1:26" ht="16.5" thickBot="1">
      <c r="A175" s="11"/>
      <c r="B175" s="11"/>
      <c r="C175" s="11"/>
      <c r="D175" s="11"/>
      <c r="E175" s="11"/>
      <c r="F175" s="11"/>
      <c r="G175" s="68"/>
      <c r="H175" s="11"/>
      <c r="I175" s="2"/>
      <c r="J175" s="2"/>
      <c r="K175" s="2"/>
      <c r="Y175" s="11"/>
      <c r="Z175" s="173"/>
    </row>
    <row r="176" spans="1:26" ht="15.75">
      <c r="A176" s="93" t="s">
        <v>36</v>
      </c>
      <c r="B176" s="37" t="s">
        <v>316</v>
      </c>
      <c r="C176" s="37" t="s">
        <v>317</v>
      </c>
      <c r="D176" s="37" t="s">
        <v>318</v>
      </c>
      <c r="E176" s="37" t="s">
        <v>319</v>
      </c>
      <c r="F176" s="481" t="s">
        <v>425</v>
      </c>
      <c r="G176" s="463" t="s">
        <v>422</v>
      </c>
      <c r="I176" s="2"/>
      <c r="J176" s="2"/>
      <c r="K176" s="2"/>
      <c r="Y176" s="11"/>
      <c r="Z176" s="173"/>
    </row>
    <row r="177" spans="1:26" ht="16.5" thickBot="1">
      <c r="A177" s="272">
        <v>749</v>
      </c>
      <c r="B177" s="74">
        <f>LOOKUP(A177,numerocargo,punbascargo)</f>
        <v>971</v>
      </c>
      <c r="C177" s="74">
        <f>LOOKUP(A177,numerocargo,tardif)</f>
        <v>0</v>
      </c>
      <c r="D177" s="74">
        <f>LOOKUP(A177,numerocargo,proljor)</f>
        <v>0</v>
      </c>
      <c r="E177" s="74">
        <f>LOOKUP(A177,numerocargo,jorcom)</f>
        <v>0</v>
      </c>
      <c r="F177" s="445">
        <f>LOOKUP(A177,numerocargo,puntoscompbas2014)</f>
        <v>327</v>
      </c>
      <c r="G177" s="11">
        <f>LOOKUP(A177,numerocargo,adicdir2014)</f>
        <v>0</v>
      </c>
      <c r="I177" s="2"/>
      <c r="J177" s="2"/>
      <c r="K177" s="2"/>
      <c r="Y177" s="11"/>
      <c r="Z177" s="173"/>
    </row>
    <row r="178" spans="1:26" ht="16.5" thickBot="1">
      <c r="A178" s="273" t="s">
        <v>37</v>
      </c>
      <c r="B178" s="76" t="str">
        <f>LOOKUP(A177,Cargos!A3:A335,Cargos!B3:B335)</f>
        <v> MAESTRO DE GRADO</v>
      </c>
      <c r="C178" s="36"/>
      <c r="D178" s="36"/>
      <c r="E178" s="55"/>
      <c r="F178" s="11"/>
      <c r="G178" s="481" t="s">
        <v>425</v>
      </c>
      <c r="H178" s="507"/>
      <c r="I178" s="2"/>
      <c r="J178" s="2"/>
      <c r="K178" s="2"/>
      <c r="Y178" s="11"/>
      <c r="Z178" s="173"/>
    </row>
    <row r="179" spans="1:26" ht="16.5" thickBot="1">
      <c r="A179" s="271"/>
      <c r="B179" s="68"/>
      <c r="C179" s="11"/>
      <c r="D179" s="11"/>
      <c r="E179" s="11"/>
      <c r="F179" s="444" t="s">
        <v>339</v>
      </c>
      <c r="G179" s="445">
        <f>LOOKUP(A177,numerocargo,puntoscompbas2015)</f>
        <v>350</v>
      </c>
      <c r="H179" s="506"/>
      <c r="I179" s="2"/>
      <c r="J179" s="2"/>
      <c r="K179" s="2"/>
      <c r="Y179" s="11"/>
      <c r="Z179" s="173"/>
    </row>
    <row r="180" spans="1:26" ht="17.25" thickBot="1" thickTop="1">
      <c r="A180" s="271"/>
      <c r="B180" s="113" t="s">
        <v>333</v>
      </c>
      <c r="C180" s="114"/>
      <c r="D180" s="114"/>
      <c r="E180" s="119">
        <v>120</v>
      </c>
      <c r="F180" s="121">
        <f>E180/120</f>
        <v>1</v>
      </c>
      <c r="G180" s="68"/>
      <c r="I180" s="2"/>
      <c r="J180" s="2"/>
      <c r="K180" s="2"/>
      <c r="Y180" s="11"/>
      <c r="Z180" s="173"/>
    </row>
    <row r="181" spans="1:26" ht="17.25" thickBot="1" thickTop="1">
      <c r="A181" s="271"/>
      <c r="B181" s="68"/>
      <c r="C181" s="11"/>
      <c r="D181" s="11"/>
      <c r="E181" s="286"/>
      <c r="F181" s="11"/>
      <c r="G181" s="68"/>
      <c r="I181" s="2"/>
      <c r="J181" s="2"/>
      <c r="K181" s="2"/>
      <c r="Y181" s="11"/>
      <c r="Z181" s="173"/>
    </row>
    <row r="182" spans="1:26" ht="17.25" thickBot="1" thickTop="1">
      <c r="A182" s="271"/>
      <c r="B182" s="112" t="s">
        <v>341</v>
      </c>
      <c r="C182" s="335">
        <v>0</v>
      </c>
      <c r="D182" s="336" t="s">
        <v>371</v>
      </c>
      <c r="E182" s="337"/>
      <c r="F182" s="360">
        <v>0.82</v>
      </c>
      <c r="G182" s="68"/>
      <c r="H182" s="11"/>
      <c r="I182" s="2"/>
      <c r="J182" s="2"/>
      <c r="K182" s="2"/>
      <c r="Y182" s="11"/>
      <c r="Z182" s="173"/>
    </row>
    <row r="183" spans="1:32" ht="16.5" thickTop="1">
      <c r="A183" s="271"/>
      <c r="B183" s="68"/>
      <c r="C183" s="11"/>
      <c r="D183" s="11"/>
      <c r="E183" s="11"/>
      <c r="F183" s="11"/>
      <c r="G183" s="68"/>
      <c r="H183" s="11"/>
      <c r="I183" s="11"/>
      <c r="J183" s="11"/>
      <c r="K183" s="11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11"/>
      <c r="Z183" s="173"/>
      <c r="AA183" s="67"/>
      <c r="AB183" s="67"/>
      <c r="AC183" s="67"/>
      <c r="AD183" s="67"/>
      <c r="AE183" s="67"/>
      <c r="AF183" s="67"/>
    </row>
    <row r="184" spans="1:32" ht="11.25" customHeight="1" thickBot="1">
      <c r="A184" s="271"/>
      <c r="B184" s="68"/>
      <c r="C184" s="11"/>
      <c r="D184" s="11"/>
      <c r="E184" s="11"/>
      <c r="F184" s="11"/>
      <c r="G184" s="68"/>
      <c r="H184" s="11"/>
      <c r="I184" s="11"/>
      <c r="J184" s="11"/>
      <c r="K184" s="11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11"/>
      <c r="Z184" s="173"/>
      <c r="AA184" s="67"/>
      <c r="AB184" s="67"/>
      <c r="AC184" s="67"/>
      <c r="AD184" s="67"/>
      <c r="AE184" s="67"/>
      <c r="AF184" s="67"/>
    </row>
    <row r="185" spans="1:32" ht="16.5" thickBot="1">
      <c r="A185" s="67"/>
      <c r="B185" s="151" t="s">
        <v>14</v>
      </c>
      <c r="C185" s="152"/>
      <c r="D185" s="153">
        <v>1.2</v>
      </c>
      <c r="E185" s="67" t="s">
        <v>15</v>
      </c>
      <c r="F185" s="67"/>
      <c r="G185" s="67"/>
      <c r="H185" s="67"/>
      <c r="I185" s="281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</row>
    <row r="186" spans="1:27" ht="12" customHeight="1">
      <c r="A186" s="67"/>
      <c r="B186" s="11"/>
      <c r="C186" s="11"/>
      <c r="D186" s="282"/>
      <c r="E186" s="67"/>
      <c r="F186" s="67"/>
      <c r="G186" s="67"/>
      <c r="H186" s="67"/>
      <c r="I186" s="283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</row>
    <row r="187" spans="1:27" ht="18.75" thickBot="1">
      <c r="A187" s="67"/>
      <c r="B187" s="284" t="s">
        <v>16</v>
      </c>
      <c r="C187" s="284"/>
      <c r="D187" s="285">
        <f>PUNTOSbasicos</f>
        <v>971</v>
      </c>
      <c r="E187" s="67" t="s">
        <v>17</v>
      </c>
      <c r="F187" s="259" t="s">
        <v>366</v>
      </c>
      <c r="G187" s="330">
        <f>puntosproljornada+puntosjornadacompleta</f>
        <v>0</v>
      </c>
      <c r="H187" s="11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</row>
    <row r="188" spans="1:27" ht="12.75" customHeight="1">
      <c r="A188" s="67"/>
      <c r="B188" s="11"/>
      <c r="C188" s="11"/>
      <c r="D188" s="282"/>
      <c r="E188" s="67"/>
      <c r="F188" s="67"/>
      <c r="G188" s="11"/>
      <c r="H188" s="212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1:12" ht="18">
      <c r="A189" s="67"/>
      <c r="B189" s="499" t="s">
        <v>421</v>
      </c>
      <c r="C189" s="500"/>
      <c r="D189" s="500"/>
      <c r="F189" s="508" t="s">
        <v>427</v>
      </c>
      <c r="G189" s="509"/>
      <c r="H189" s="509"/>
      <c r="J189" s="510" t="s">
        <v>480</v>
      </c>
      <c r="K189" s="511"/>
      <c r="L189" s="511"/>
    </row>
    <row r="190" spans="1:12" ht="12.75" customHeight="1" thickBot="1">
      <c r="A190" s="67"/>
      <c r="B190" s="277"/>
      <c r="C190" s="67"/>
      <c r="D190" s="67"/>
      <c r="F190" s="277"/>
      <c r="G190" s="67"/>
      <c r="H190" s="67"/>
      <c r="J190" s="277"/>
      <c r="K190" s="67"/>
      <c r="L190" s="67"/>
    </row>
    <row r="191" spans="1:12" ht="12.75">
      <c r="A191" s="67"/>
      <c r="B191" s="191">
        <v>400</v>
      </c>
      <c r="C191" s="192" t="s">
        <v>18</v>
      </c>
      <c r="D191" s="193">
        <f>punbasjub*indiceago14*porjubcar*frac</f>
        <v>1978.9251879999997</v>
      </c>
      <c r="F191" s="191">
        <v>400</v>
      </c>
      <c r="G191" s="192" t="s">
        <v>18</v>
      </c>
      <c r="H191" s="193">
        <f>punbasjub*indicemar15*porjubcar*frac</f>
        <v>2394.472406</v>
      </c>
      <c r="J191" s="191">
        <v>400</v>
      </c>
      <c r="K191" s="192" t="s">
        <v>18</v>
      </c>
      <c r="L191" s="193">
        <f>punbasjub*indicejul15*porjubcar*frac</f>
        <v>2610.00916</v>
      </c>
    </row>
    <row r="192" spans="1:12" ht="13.5" thickBot="1">
      <c r="A192" s="67"/>
      <c r="B192" s="17">
        <v>542</v>
      </c>
      <c r="C192" s="17" t="s">
        <v>370</v>
      </c>
      <c r="D192" s="195">
        <f>compbasico2014*indiceago14*porjubcar*frac</f>
        <v>666.4351559999999</v>
      </c>
      <c r="F192" s="17">
        <v>542</v>
      </c>
      <c r="G192" s="17" t="s">
        <v>370</v>
      </c>
      <c r="H192" s="195">
        <f>compbasico2015*indicemar15*porjubcar*frac</f>
        <v>863.0951</v>
      </c>
      <c r="J192" s="17">
        <v>542</v>
      </c>
      <c r="K192" s="17" t="s">
        <v>370</v>
      </c>
      <c r="L192" s="195">
        <f>compbasico2015*indicejul15*porjubcar*frac</f>
        <v>940.786</v>
      </c>
    </row>
    <row r="193" spans="1:12" ht="12.75">
      <c r="A193" s="67"/>
      <c r="B193" s="482">
        <v>428</v>
      </c>
      <c r="C193" s="15" t="s">
        <v>382</v>
      </c>
      <c r="D193" s="483">
        <f>puntosadicdir2014*indiceago14*porjubcar*frac</f>
        <v>0</v>
      </c>
      <c r="F193" s="482">
        <v>428</v>
      </c>
      <c r="G193" s="15" t="s">
        <v>382</v>
      </c>
      <c r="H193" s="483">
        <f>puntosadicdir2014*indicemar15*porjubcar*frac</f>
        <v>0</v>
      </c>
      <c r="J193" s="482">
        <v>428</v>
      </c>
      <c r="K193" s="15" t="s">
        <v>382</v>
      </c>
      <c r="L193" s="483">
        <f>puntosadicdir2014*indicejul15*porjubcar*frac</f>
        <v>0</v>
      </c>
    </row>
    <row r="194" spans="1:12" ht="12.75">
      <c r="A194" s="67"/>
      <c r="B194" s="194">
        <v>404</v>
      </c>
      <c r="C194" s="320" t="s">
        <v>321</v>
      </c>
      <c r="D194" s="195">
        <f>puntostareadifer*indiceago14*porjubcar*frac</f>
        <v>0</v>
      </c>
      <c r="F194" s="194">
        <v>404</v>
      </c>
      <c r="G194" s="320" t="s">
        <v>321</v>
      </c>
      <c r="H194" s="195">
        <f>puntostareadifer*indicemar15*porjubcar*frac</f>
        <v>0</v>
      </c>
      <c r="J194" s="194">
        <v>404</v>
      </c>
      <c r="K194" s="320" t="s">
        <v>321</v>
      </c>
      <c r="L194" s="195">
        <f>puntostareadifer*indicejul15*porjubcar*frac</f>
        <v>0</v>
      </c>
    </row>
    <row r="195" spans="1:12" ht="12.75">
      <c r="A195" s="67"/>
      <c r="B195" s="194">
        <v>406</v>
      </c>
      <c r="C195" s="17" t="s">
        <v>19</v>
      </c>
      <c r="D195" s="195">
        <f>(D191+D192+D193+D194+D197)*porcantigcargo</f>
        <v>3174.4324127999994</v>
      </c>
      <c r="F195" s="194">
        <v>406</v>
      </c>
      <c r="G195" s="17" t="s">
        <v>19</v>
      </c>
      <c r="H195" s="195">
        <f>(H191+H192+H193+H194+H197)*porcantigcargo</f>
        <v>3909.0810071999995</v>
      </c>
      <c r="J195" s="194">
        <v>406</v>
      </c>
      <c r="K195" s="17" t="s">
        <v>19</v>
      </c>
      <c r="L195" s="195">
        <f>(L191+L192+L193+L194+L197)*porcantigcargo</f>
        <v>4260.954192</v>
      </c>
    </row>
    <row r="196" spans="1:12" ht="12.75">
      <c r="A196" s="67"/>
      <c r="B196" s="194">
        <v>408</v>
      </c>
      <c r="C196" s="17" t="s">
        <v>340</v>
      </c>
      <c r="D196" s="195">
        <f>(D191+D192+D193+D197)*porczona</f>
        <v>0</v>
      </c>
      <c r="F196" s="194">
        <v>408</v>
      </c>
      <c r="G196" s="17" t="s">
        <v>340</v>
      </c>
      <c r="H196" s="195">
        <f>(H191+H192+H193+H197)*porczona</f>
        <v>0</v>
      </c>
      <c r="J196" s="194">
        <v>408</v>
      </c>
      <c r="K196" s="17" t="s">
        <v>340</v>
      </c>
      <c r="L196" s="195">
        <f>(L191+L192+L193+L197)*porczona</f>
        <v>0</v>
      </c>
    </row>
    <row r="197" spans="1:12" ht="12.75">
      <c r="A197" s="67"/>
      <c r="B197" s="194">
        <v>416</v>
      </c>
      <c r="C197" s="83" t="s">
        <v>322</v>
      </c>
      <c r="D197" s="195">
        <f>puntosproljor*indiceproljorago14*porjubcar*frac</f>
        <v>0</v>
      </c>
      <c r="F197" s="194">
        <v>416</v>
      </c>
      <c r="G197" s="83" t="s">
        <v>322</v>
      </c>
      <c r="H197" s="195">
        <f>puntosproljor*indiceproljormar15*porjubcar*frac</f>
        <v>0</v>
      </c>
      <c r="J197" s="194">
        <v>416</v>
      </c>
      <c r="K197" s="83" t="s">
        <v>322</v>
      </c>
      <c r="L197" s="195">
        <f>puntosproljor*indiceproljorjul15*porjubcar*frac</f>
        <v>0</v>
      </c>
    </row>
    <row r="198" spans="1:12" ht="12.75">
      <c r="A198" s="274"/>
      <c r="B198" s="194">
        <v>432</v>
      </c>
      <c r="C198" s="17" t="s">
        <v>338</v>
      </c>
      <c r="D198" s="195">
        <f>cod06ago14*porjubcar*frac</f>
        <v>1895.793998</v>
      </c>
      <c r="F198" s="194">
        <v>432</v>
      </c>
      <c r="G198" s="17" t="s">
        <v>338</v>
      </c>
      <c r="H198" s="195">
        <f>cod06mar15*porjubcar*frac</f>
        <v>2457.92667756</v>
      </c>
      <c r="J198" s="194">
        <v>432</v>
      </c>
      <c r="K198" s="17" t="s">
        <v>338</v>
      </c>
      <c r="L198" s="195">
        <f>cod06ago15*porjubcar*frac</f>
        <v>2728.2986120916003</v>
      </c>
    </row>
    <row r="199" spans="1:12" ht="12.75">
      <c r="A199" s="274"/>
      <c r="B199" s="194">
        <v>434</v>
      </c>
      <c r="C199" s="17" t="s">
        <v>320</v>
      </c>
      <c r="D199" s="195">
        <f>(D191+D192+D193+D194+D195+D196+D197+D198)*0.07*0.95</f>
        <v>513.0865191942</v>
      </c>
      <c r="F199" s="194">
        <v>434</v>
      </c>
      <c r="G199" s="17" t="s">
        <v>320</v>
      </c>
      <c r="H199" s="195">
        <f>(H191+H192+H193+H194+H195+H196+H197+H198)*0.07*0.95</f>
        <v>640.0342501855399</v>
      </c>
      <c r="J199" s="194">
        <v>434</v>
      </c>
      <c r="K199" s="17" t="s">
        <v>320</v>
      </c>
      <c r="L199" s="195">
        <f>(L191+L192+L193+L194+L195+L196+L197+L198)*0.07*0.95</f>
        <v>700.9131896120915</v>
      </c>
    </row>
    <row r="200" spans="1:12" ht="15">
      <c r="A200" s="274"/>
      <c r="C200" s="84"/>
      <c r="D200" s="523"/>
      <c r="F200" s="524" t="s">
        <v>433</v>
      </c>
      <c r="G200" s="526" t="s">
        <v>434</v>
      </c>
      <c r="H200" s="525"/>
      <c r="J200" s="524" t="s">
        <v>433</v>
      </c>
      <c r="K200" s="526" t="s">
        <v>434</v>
      </c>
      <c r="L200" s="525"/>
    </row>
    <row r="201" spans="1:12" ht="13.5" thickBot="1">
      <c r="A201" s="274"/>
      <c r="B201" s="194"/>
      <c r="C201" s="84" t="s">
        <v>336</v>
      </c>
      <c r="D201" s="197">
        <f>0</f>
        <v>0</v>
      </c>
      <c r="F201" s="194"/>
      <c r="G201" s="84" t="s">
        <v>336</v>
      </c>
      <c r="H201" s="197">
        <f>0</f>
        <v>0</v>
      </c>
      <c r="J201" s="194"/>
      <c r="K201" s="84" t="s">
        <v>336</v>
      </c>
      <c r="L201" s="197">
        <f>0</f>
        <v>0</v>
      </c>
    </row>
    <row r="202" spans="1:12" ht="16.5" thickBot="1">
      <c r="A202" s="274"/>
      <c r="B202" s="198"/>
      <c r="C202" s="86" t="s">
        <v>20</v>
      </c>
      <c r="D202" s="87">
        <f>SUM(D191:D201)</f>
        <v>8228.6732739942</v>
      </c>
      <c r="F202" s="198"/>
      <c r="G202" s="86" t="s">
        <v>20</v>
      </c>
      <c r="H202" s="87">
        <f>SUM(H191:H201)</f>
        <v>10264.609440945538</v>
      </c>
      <c r="J202" s="198"/>
      <c r="K202" s="86" t="s">
        <v>20</v>
      </c>
      <c r="L202" s="87">
        <f>SUM(L191:L201)</f>
        <v>11240.961153703693</v>
      </c>
    </row>
    <row r="203" spans="1:12" ht="12.75">
      <c r="A203" s="274"/>
      <c r="B203" s="194">
        <v>703</v>
      </c>
      <c r="C203" s="88" t="s">
        <v>323</v>
      </c>
      <c r="D203" s="199">
        <f>(D202-D201)*0.0025</f>
        <v>20.5716831849855</v>
      </c>
      <c r="F203" s="194">
        <v>703</v>
      </c>
      <c r="G203" s="88" t="s">
        <v>323</v>
      </c>
      <c r="H203" s="199">
        <f>(H202-H201)*0.0025</f>
        <v>25.661523602363847</v>
      </c>
      <c r="J203" s="194">
        <v>703</v>
      </c>
      <c r="K203" s="88" t="s">
        <v>323</v>
      </c>
      <c r="L203" s="199">
        <f>(L202-L201)*0.0025</f>
        <v>28.10240288425923</v>
      </c>
    </row>
    <row r="204" spans="1:12" ht="12.75">
      <c r="A204" s="67"/>
      <c r="B204" s="200">
        <v>707</v>
      </c>
      <c r="C204" s="90" t="s">
        <v>22</v>
      </c>
      <c r="D204" s="201">
        <f>(D202-D201)*0.03</f>
        <v>246.86019821982597</v>
      </c>
      <c r="F204" s="200">
        <v>707</v>
      </c>
      <c r="G204" s="90" t="s">
        <v>22</v>
      </c>
      <c r="H204" s="201">
        <f>(H202-H201)*0.03</f>
        <v>307.9382832283661</v>
      </c>
      <c r="J204" s="200">
        <v>707</v>
      </c>
      <c r="K204" s="90" t="s">
        <v>22</v>
      </c>
      <c r="L204" s="201">
        <f>(L202-L201)*0.03</f>
        <v>337.22883461111076</v>
      </c>
    </row>
    <row r="205" spans="1:12" ht="12.75">
      <c r="A205" s="142"/>
      <c r="B205" s="200">
        <v>709</v>
      </c>
      <c r="C205" s="90" t="s">
        <v>23</v>
      </c>
      <c r="D205" s="201">
        <f>(D202-D201)*0.0213</f>
        <v>175.27074073607645</v>
      </c>
      <c r="F205" s="200">
        <v>709</v>
      </c>
      <c r="G205" s="90" t="s">
        <v>23</v>
      </c>
      <c r="H205" s="201">
        <f>(H202-H201)*0.0213</f>
        <v>218.63618109213996</v>
      </c>
      <c r="J205" s="200">
        <v>709</v>
      </c>
      <c r="K205" s="90" t="s">
        <v>23</v>
      </c>
      <c r="L205" s="201">
        <f>(L202-L201)*0.0213</f>
        <v>239.43247257388865</v>
      </c>
    </row>
    <row r="206" spans="1:12" ht="12.75">
      <c r="A206" s="142"/>
      <c r="B206" s="202">
        <v>713</v>
      </c>
      <c r="C206" s="90" t="s">
        <v>25</v>
      </c>
      <c r="D206" s="201">
        <f>(D202-D201)*0.007</f>
        <v>57.6007129179594</v>
      </c>
      <c r="F206" s="202">
        <v>713</v>
      </c>
      <c r="G206" s="90" t="s">
        <v>25</v>
      </c>
      <c r="H206" s="201">
        <f>(H202-H201)*0.007</f>
        <v>71.85226608661877</v>
      </c>
      <c r="J206" s="202">
        <v>713</v>
      </c>
      <c r="K206" s="90" t="s">
        <v>25</v>
      </c>
      <c r="L206" s="201">
        <f>(L202-L201)*0.007</f>
        <v>78.68672807592586</v>
      </c>
    </row>
    <row r="207" spans="1:12" ht="12.75">
      <c r="A207" s="142"/>
      <c r="B207" s="202">
        <v>787</v>
      </c>
      <c r="C207" s="90" t="s">
        <v>400</v>
      </c>
      <c r="D207" s="201">
        <f>(D202-D201)*0.01</f>
        <v>82.286732739942</v>
      </c>
      <c r="F207" s="202">
        <v>787</v>
      </c>
      <c r="G207" s="90" t="s">
        <v>400</v>
      </c>
      <c r="H207" s="201">
        <f>(H202-H201)*0.01</f>
        <v>102.64609440945539</v>
      </c>
      <c r="J207" s="202">
        <v>787</v>
      </c>
      <c r="K207" s="90" t="s">
        <v>400</v>
      </c>
      <c r="L207" s="201">
        <f>(L202-L201)*0.01</f>
        <v>112.40961153703692</v>
      </c>
    </row>
    <row r="208" spans="1:12" ht="13.5" thickBot="1">
      <c r="A208" s="143"/>
      <c r="B208" s="202"/>
      <c r="C208" s="91" t="s">
        <v>26</v>
      </c>
      <c r="D208" s="294"/>
      <c r="F208" s="202"/>
      <c r="G208" s="91" t="s">
        <v>26</v>
      </c>
      <c r="H208" s="294"/>
      <c r="J208" s="202"/>
      <c r="K208" s="91" t="s">
        <v>26</v>
      </c>
      <c r="L208" s="294"/>
    </row>
    <row r="209" spans="1:12" ht="16.5" thickBot="1">
      <c r="A209" s="274"/>
      <c r="B209" s="204"/>
      <c r="C209" s="86" t="s">
        <v>27</v>
      </c>
      <c r="D209" s="87">
        <f>SUM(D203:D208)</f>
        <v>582.5900677987893</v>
      </c>
      <c r="F209" s="204"/>
      <c r="G209" s="86" t="s">
        <v>27</v>
      </c>
      <c r="H209" s="87">
        <f>SUM(H203:H208)</f>
        <v>726.7343484189441</v>
      </c>
      <c r="J209" s="204"/>
      <c r="K209" s="86" t="s">
        <v>27</v>
      </c>
      <c r="L209" s="87">
        <f>SUM(L203:L208)</f>
        <v>795.8600496822214</v>
      </c>
    </row>
    <row r="210" spans="1:12" ht="13.5" thickBot="1">
      <c r="A210" s="274"/>
      <c r="B210" s="205"/>
      <c r="C210" s="94"/>
      <c r="D210" s="206"/>
      <c r="F210" s="205"/>
      <c r="G210" s="94"/>
      <c r="H210" s="206"/>
      <c r="J210" s="205"/>
      <c r="K210" s="94"/>
      <c r="L210" s="206"/>
    </row>
    <row r="211" spans="1:12" ht="24" thickBot="1">
      <c r="A211" s="67"/>
      <c r="B211" s="207"/>
      <c r="C211" s="97" t="s">
        <v>28</v>
      </c>
      <c r="D211" s="530">
        <f>D202-D209</f>
        <v>7646.083206195411</v>
      </c>
      <c r="F211" s="207"/>
      <c r="G211" s="97" t="s">
        <v>28</v>
      </c>
      <c r="H211" s="530">
        <f>H202-H209</f>
        <v>9537.875092526594</v>
      </c>
      <c r="J211" s="207"/>
      <c r="K211" s="97" t="s">
        <v>28</v>
      </c>
      <c r="L211" s="530">
        <f>L202-L209</f>
        <v>10445.10110402147</v>
      </c>
    </row>
    <row r="212" spans="1:14" ht="13.5" thickBot="1">
      <c r="A212" s="217"/>
      <c r="E212" s="211"/>
      <c r="I212" s="211"/>
      <c r="M212" s="464" t="s">
        <v>485</v>
      </c>
      <c r="N212" s="465"/>
    </row>
    <row r="213" spans="1:14" ht="16.5" thickTop="1">
      <c r="A213" s="217"/>
      <c r="B213" s="374"/>
      <c r="C213" s="501"/>
      <c r="D213" s="502"/>
      <c r="E213" s="435"/>
      <c r="F213" s="362" t="s">
        <v>379</v>
      </c>
      <c r="G213" s="364"/>
      <c r="H213" s="371">
        <f>H211-D211</f>
        <v>1891.7918863311834</v>
      </c>
      <c r="I213" s="518"/>
      <c r="J213" s="362" t="s">
        <v>379</v>
      </c>
      <c r="K213" s="364"/>
      <c r="L213" s="371">
        <f>L211-H211</f>
        <v>907.2260114948767</v>
      </c>
      <c r="M213" s="439" t="s">
        <v>398</v>
      </c>
      <c r="N213" s="440">
        <f>L211-D211</f>
        <v>2799.01789782606</v>
      </c>
    </row>
    <row r="214" spans="1:14" ht="16.5" thickBot="1">
      <c r="A214" s="67"/>
      <c r="B214" s="374"/>
      <c r="C214" s="501"/>
      <c r="D214" s="373"/>
      <c r="E214" s="435"/>
      <c r="F214" s="363" t="s">
        <v>373</v>
      </c>
      <c r="G214" s="364"/>
      <c r="H214" s="372">
        <f>H213/D211</f>
        <v>0.24741973574108067</v>
      </c>
      <c r="I214" s="518"/>
      <c r="J214" s="363" t="s">
        <v>373</v>
      </c>
      <c r="K214" s="364"/>
      <c r="L214" s="372">
        <f>L213/H211</f>
        <v>0.09511825251367928</v>
      </c>
      <c r="M214" s="441" t="s">
        <v>399</v>
      </c>
      <c r="N214" s="442">
        <f>N213/D211</f>
        <v>0.36607212115584786</v>
      </c>
    </row>
    <row r="215" spans="1:10" ht="12.75">
      <c r="A215" s="67"/>
      <c r="B215" s="67"/>
      <c r="C215" s="67"/>
      <c r="D215" s="67"/>
      <c r="E215" s="67"/>
      <c r="F215" s="67"/>
      <c r="G215" s="67"/>
      <c r="H215" s="14"/>
      <c r="I215" s="11"/>
      <c r="J215" s="100"/>
    </row>
    <row r="216" spans="1:11" ht="12.75">
      <c r="A216" s="67"/>
      <c r="B216" s="280"/>
      <c r="C216" s="280"/>
      <c r="D216" s="280"/>
      <c r="E216" s="433"/>
      <c r="F216" s="280"/>
      <c r="G216" s="280"/>
      <c r="H216" s="280"/>
      <c r="I216" s="11"/>
      <c r="J216" s="280"/>
      <c r="K216" s="280"/>
    </row>
    <row r="217" spans="1:11" ht="20.25">
      <c r="A217" s="67"/>
      <c r="B217" s="366" t="s">
        <v>29</v>
      </c>
      <c r="C217" s="155"/>
      <c r="D217" s="155"/>
      <c r="E217" s="432"/>
      <c r="F217" s="366" t="s">
        <v>29</v>
      </c>
      <c r="G217" s="155"/>
      <c r="H217" s="155"/>
      <c r="I217" s="11"/>
      <c r="J217" s="366" t="s">
        <v>29</v>
      </c>
      <c r="K217" s="155"/>
    </row>
    <row r="218" spans="1:10" ht="13.5" thickBot="1">
      <c r="A218" s="67"/>
      <c r="B218" s="67"/>
      <c r="C218" s="67"/>
      <c r="D218" s="67"/>
      <c r="E218" s="67"/>
      <c r="F218" s="67"/>
      <c r="G218" s="67"/>
      <c r="H218" s="14"/>
      <c r="I218" s="11"/>
      <c r="J218" s="100"/>
    </row>
    <row r="219" spans="1:10" ht="16.5" thickBot="1">
      <c r="A219" s="67"/>
      <c r="B219" s="101" t="s">
        <v>30</v>
      </c>
      <c r="C219" s="36"/>
      <c r="D219" s="12">
        <v>36</v>
      </c>
      <c r="E219" s="67"/>
      <c r="F219" s="278"/>
      <c r="G219" s="67"/>
      <c r="H219" s="14"/>
      <c r="I219" s="11"/>
      <c r="J219" s="11"/>
    </row>
    <row r="220" spans="1:10" ht="16.5" thickBot="1">
      <c r="A220" s="67"/>
      <c r="B220" s="77" t="s">
        <v>14</v>
      </c>
      <c r="C220" s="36"/>
      <c r="D220" s="111">
        <v>1.2</v>
      </c>
      <c r="E220" s="211"/>
      <c r="F220" s="279"/>
      <c r="G220" s="67"/>
      <c r="H220" s="14"/>
      <c r="I220" s="11"/>
      <c r="J220" s="102"/>
    </row>
    <row r="221" spans="1:10" ht="16.5" thickBot="1">
      <c r="A221" s="67"/>
      <c r="B221" s="336" t="s">
        <v>371</v>
      </c>
      <c r="C221" s="337"/>
      <c r="D221" s="360">
        <v>0.82</v>
      </c>
      <c r="E221" s="211"/>
      <c r="F221" s="279"/>
      <c r="G221" s="67"/>
      <c r="H221" s="14"/>
      <c r="I221" s="11"/>
      <c r="J221" s="102"/>
    </row>
    <row r="222" spans="1:10" ht="12.75">
      <c r="A222" s="67"/>
      <c r="E222" s="67"/>
      <c r="F222" s="67"/>
      <c r="G222" s="67"/>
      <c r="H222" s="527"/>
      <c r="I222" s="527"/>
      <c r="J222" s="103"/>
    </row>
    <row r="223" spans="1:10" ht="18.75" thickBot="1">
      <c r="A223" s="67"/>
      <c r="B223" s="80" t="s">
        <v>16</v>
      </c>
      <c r="C223" s="104"/>
      <c r="D223" s="81">
        <f>D219*64.73</f>
        <v>2330.28</v>
      </c>
      <c r="E223" s="211"/>
      <c r="F223" s="67"/>
      <c r="G223" s="67"/>
      <c r="H223" s="14"/>
      <c r="I223" s="68"/>
      <c r="J223" s="105"/>
    </row>
    <row r="224" spans="1:22" ht="18">
      <c r="A224" s="67"/>
      <c r="B224" s="275"/>
      <c r="C224" s="38"/>
      <c r="D224" s="276"/>
      <c r="E224" s="67"/>
      <c r="F224" s="67"/>
      <c r="G224" s="67"/>
      <c r="H224" s="274"/>
      <c r="I224" s="68"/>
      <c r="J224" s="105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</row>
    <row r="225" spans="1:12" ht="18">
      <c r="A225" s="212"/>
      <c r="B225" s="499" t="s">
        <v>421</v>
      </c>
      <c r="C225" s="500"/>
      <c r="D225" s="500"/>
      <c r="F225" s="508" t="s">
        <v>427</v>
      </c>
      <c r="G225" s="509"/>
      <c r="H225" s="509"/>
      <c r="J225" s="510" t="s">
        <v>480</v>
      </c>
      <c r="K225" s="511"/>
      <c r="L225" s="511"/>
    </row>
    <row r="226" ht="13.5" thickBot="1">
      <c r="A226" s="67"/>
    </row>
    <row r="227" spans="1:12" ht="12.75">
      <c r="A227" s="67"/>
      <c r="B227" s="191">
        <v>400</v>
      </c>
      <c r="C227" s="192" t="s">
        <v>18</v>
      </c>
      <c r="D227" s="193">
        <f>puntotalhorasmed*indiceago14*porjubhormed</f>
        <v>4749.17588784</v>
      </c>
      <c r="F227" s="191">
        <v>400</v>
      </c>
      <c r="G227" s="192" t="s">
        <v>18</v>
      </c>
      <c r="H227" s="193">
        <f>puntotalhorasmed*indicemar15*porjubhormed</f>
        <v>5746.43785608</v>
      </c>
      <c r="J227" s="191">
        <v>400</v>
      </c>
      <c r="K227" s="192" t="s">
        <v>18</v>
      </c>
      <c r="L227" s="193">
        <f>puntotalhorasmed*indicejul15*porjubhormed</f>
        <v>6263.6994288000005</v>
      </c>
    </row>
    <row r="228" spans="1:12" ht="12.75">
      <c r="A228" s="67"/>
      <c r="B228" s="194">
        <v>406</v>
      </c>
      <c r="C228" s="17" t="s">
        <v>19</v>
      </c>
      <c r="D228" s="195">
        <f>D227*porcantighorasmed</f>
        <v>5699.011065407999</v>
      </c>
      <c r="F228" s="194">
        <v>406</v>
      </c>
      <c r="G228" s="17" t="s">
        <v>19</v>
      </c>
      <c r="H228" s="195">
        <f>H227*porcantighorasmed</f>
        <v>6895.725427295999</v>
      </c>
      <c r="J228" s="194">
        <v>406</v>
      </c>
      <c r="K228" s="17" t="s">
        <v>19</v>
      </c>
      <c r="L228" s="195">
        <f>L227*porcantighorasmed</f>
        <v>7516.439314560001</v>
      </c>
    </row>
    <row r="229" spans="1:12" ht="12.75">
      <c r="A229" s="274"/>
      <c r="B229" s="194">
        <v>432</v>
      </c>
      <c r="C229" s="17" t="s">
        <v>324</v>
      </c>
      <c r="D229" s="196">
        <f>IF(numhorasmed&gt;36,36*30.4419,30.4419*numhorasmed)*porjubhormed</f>
        <v>898.6448879999999</v>
      </c>
      <c r="F229" s="194">
        <v>432</v>
      </c>
      <c r="G229" s="17" t="s">
        <v>324</v>
      </c>
      <c r="H229" s="196">
        <f>IF(numhorasmed&gt;36,36*47.35,47.35*numhorasmed)*porjubhormed</f>
        <v>1397.772</v>
      </c>
      <c r="J229" s="194">
        <v>432</v>
      </c>
      <c r="K229" s="17" t="s">
        <v>324</v>
      </c>
      <c r="L229" s="196">
        <f>IF(numhorasmed&gt;36,36*53.03,53.03*numhorasmed)*porjubhormed</f>
        <v>1565.4455999999998</v>
      </c>
    </row>
    <row r="230" spans="1:12" ht="12.75">
      <c r="A230" s="274"/>
      <c r="B230" s="194">
        <v>434</v>
      </c>
      <c r="C230" s="17" t="s">
        <v>320</v>
      </c>
      <c r="D230" s="195">
        <f>(D227+D228+D229+D231)*0.07*0.95</f>
        <v>776.376317224872</v>
      </c>
      <c r="F230" s="194">
        <v>434</v>
      </c>
      <c r="G230" s="17" t="s">
        <v>320</v>
      </c>
      <c r="H230" s="195">
        <f>(H227+H228+H229+H231)*0.07*0.95</f>
        <v>960.048216453564</v>
      </c>
      <c r="J230" s="194">
        <v>434</v>
      </c>
      <c r="K230" s="17" t="s">
        <v>320</v>
      </c>
      <c r="L230" s="195">
        <f>(L227+L228+L229+L231)*0.07*0.95</f>
        <v>1050.03661774284</v>
      </c>
    </row>
    <row r="231" spans="1:12" ht="12.75">
      <c r="A231" s="274"/>
      <c r="B231" s="504" t="s">
        <v>426</v>
      </c>
      <c r="C231" s="522" t="s">
        <v>432</v>
      </c>
      <c r="D231" s="505">
        <f>IF(numhorasmed&gt;18,18*22.222222,22.222222*numhorasmed)*porjubhormed</f>
        <v>327.99999671999996</v>
      </c>
      <c r="F231" s="504" t="s">
        <v>426</v>
      </c>
      <c r="G231" s="522" t="s">
        <v>432</v>
      </c>
      <c r="H231" s="505">
        <f>IF(numhorasmed&gt;18,18*26.888889,26.888889*numhorasmed)*porjubhormed</f>
        <v>396.88000164</v>
      </c>
      <c r="J231" s="504" t="s">
        <v>426</v>
      </c>
      <c r="K231" s="522" t="s">
        <v>432</v>
      </c>
      <c r="L231" s="505">
        <f>IF(numhorasmed&gt;18,18*30.11111,30.11111111*numhorasmed)*porjubhormed</f>
        <v>444.4399836</v>
      </c>
    </row>
    <row r="232" spans="1:12" ht="12.75">
      <c r="A232" s="274"/>
      <c r="B232" s="519"/>
      <c r="C232" s="520"/>
      <c r="D232" s="521"/>
      <c r="F232" s="519"/>
      <c r="G232" s="520"/>
      <c r="H232" s="521"/>
      <c r="J232" s="519"/>
      <c r="K232" s="520"/>
      <c r="L232" s="521"/>
    </row>
    <row r="233" spans="1:12" ht="13.5" thickBot="1">
      <c r="A233" s="274"/>
      <c r="B233" s="194"/>
      <c r="C233" s="84" t="s">
        <v>336</v>
      </c>
      <c r="D233" s="197">
        <v>0</v>
      </c>
      <c r="F233" s="194"/>
      <c r="G233" s="84" t="s">
        <v>336</v>
      </c>
      <c r="H233" s="197">
        <v>0</v>
      </c>
      <c r="J233" s="194"/>
      <c r="K233" s="84" t="s">
        <v>336</v>
      </c>
      <c r="L233" s="197">
        <v>0</v>
      </c>
    </row>
    <row r="234" spans="1:12" ht="13.5" thickBot="1">
      <c r="A234" s="274"/>
      <c r="B234" s="198"/>
      <c r="C234" s="86" t="s">
        <v>20</v>
      </c>
      <c r="D234" s="106">
        <f>SUM(D227:D233)</f>
        <v>12451.208155192871</v>
      </c>
      <c r="F234" s="198"/>
      <c r="G234" s="86" t="s">
        <v>20</v>
      </c>
      <c r="H234" s="106">
        <f>SUM(H227:H233)</f>
        <v>15396.863501469563</v>
      </c>
      <c r="J234" s="198"/>
      <c r="K234" s="86" t="s">
        <v>20</v>
      </c>
      <c r="L234" s="106">
        <f>SUM(L227:L233)</f>
        <v>16840.06094470284</v>
      </c>
    </row>
    <row r="235" spans="1:12" ht="12.75">
      <c r="A235" s="274"/>
      <c r="B235" s="194">
        <v>703</v>
      </c>
      <c r="C235" s="88" t="s">
        <v>21</v>
      </c>
      <c r="D235" s="199">
        <f>(D234-D233)*0.0025</f>
        <v>31.12802038798218</v>
      </c>
      <c r="F235" s="194">
        <v>703</v>
      </c>
      <c r="G235" s="88" t="s">
        <v>21</v>
      </c>
      <c r="H235" s="199">
        <f>(H234-H233)*0.0025</f>
        <v>38.492158753673905</v>
      </c>
      <c r="J235" s="194">
        <v>703</v>
      </c>
      <c r="K235" s="88" t="s">
        <v>21</v>
      </c>
      <c r="L235" s="199">
        <f>(L234-L233)*0.0025</f>
        <v>42.100152361757104</v>
      </c>
    </row>
    <row r="236" spans="1:12" ht="12.75">
      <c r="A236" s="67"/>
      <c r="B236" s="200">
        <v>707</v>
      </c>
      <c r="C236" s="90" t="s">
        <v>22</v>
      </c>
      <c r="D236" s="201">
        <f>(D234-D233)*0.03</f>
        <v>373.5362446557861</v>
      </c>
      <c r="F236" s="200">
        <v>707</v>
      </c>
      <c r="G236" s="90" t="s">
        <v>22</v>
      </c>
      <c r="H236" s="201">
        <f>(H234-H233)*0.03</f>
        <v>461.90590504408686</v>
      </c>
      <c r="J236" s="200">
        <v>707</v>
      </c>
      <c r="K236" s="90" t="s">
        <v>22</v>
      </c>
      <c r="L236" s="201">
        <f>(L234-L233)*0.03</f>
        <v>505.20182834108516</v>
      </c>
    </row>
    <row r="237" spans="1:12" ht="12.75">
      <c r="A237" s="142"/>
      <c r="B237" s="200">
        <v>709</v>
      </c>
      <c r="C237" s="90" t="s">
        <v>23</v>
      </c>
      <c r="D237" s="201">
        <f>(D234-D233)*0.0213</f>
        <v>265.21073370560816</v>
      </c>
      <c r="F237" s="200">
        <v>709</v>
      </c>
      <c r="G237" s="90" t="s">
        <v>23</v>
      </c>
      <c r="H237" s="201">
        <f>(H234-H233)*0.0213</f>
        <v>327.95319258130166</v>
      </c>
      <c r="J237" s="200">
        <v>709</v>
      </c>
      <c r="K237" s="90" t="s">
        <v>23</v>
      </c>
      <c r="L237" s="201">
        <f>(L234-L233)*0.0213</f>
        <v>358.69329812217046</v>
      </c>
    </row>
    <row r="238" spans="1:12" ht="12.75">
      <c r="A238" s="142"/>
      <c r="B238" s="202">
        <v>713</v>
      </c>
      <c r="C238" s="90" t="s">
        <v>25</v>
      </c>
      <c r="D238" s="201">
        <f>(D234-D233)*0.007</f>
        <v>87.1584570863501</v>
      </c>
      <c r="F238" s="202">
        <v>713</v>
      </c>
      <c r="G238" s="90" t="s">
        <v>25</v>
      </c>
      <c r="H238" s="201">
        <f>(H234-H233)*0.007</f>
        <v>107.77804451028695</v>
      </c>
      <c r="J238" s="202">
        <v>713</v>
      </c>
      <c r="K238" s="90" t="s">
        <v>25</v>
      </c>
      <c r="L238" s="201">
        <f>(L234-L233)*0.007</f>
        <v>117.88042661291988</v>
      </c>
    </row>
    <row r="239" spans="1:12" ht="12.75">
      <c r="A239" s="142"/>
      <c r="B239" s="202">
        <v>787</v>
      </c>
      <c r="C239" s="90" t="s">
        <v>400</v>
      </c>
      <c r="D239" s="201">
        <f>(D234-D233)*0.01</f>
        <v>124.51208155192872</v>
      </c>
      <c r="F239" s="202">
        <v>787</v>
      </c>
      <c r="G239" s="90" t="s">
        <v>400</v>
      </c>
      <c r="H239" s="201">
        <f>(H234-H233)*0.01</f>
        <v>153.96863501469562</v>
      </c>
      <c r="J239" s="202">
        <v>787</v>
      </c>
      <c r="K239" s="90" t="s">
        <v>400</v>
      </c>
      <c r="L239" s="201">
        <f>(L234-L233)*0.01</f>
        <v>168.40060944702842</v>
      </c>
    </row>
    <row r="240" spans="1:12" ht="13.5" thickBot="1">
      <c r="A240" s="143"/>
      <c r="B240" s="202"/>
      <c r="C240" s="91" t="s">
        <v>26</v>
      </c>
      <c r="D240" s="203">
        <v>0</v>
      </c>
      <c r="F240" s="202"/>
      <c r="G240" s="91" t="s">
        <v>26</v>
      </c>
      <c r="H240" s="203">
        <v>0</v>
      </c>
      <c r="J240" s="202"/>
      <c r="K240" s="91" t="s">
        <v>26</v>
      </c>
      <c r="L240" s="203">
        <v>0</v>
      </c>
    </row>
    <row r="241" spans="1:12" ht="13.5" thickBot="1">
      <c r="A241" s="274"/>
      <c r="B241" s="204"/>
      <c r="C241" s="86" t="s">
        <v>27</v>
      </c>
      <c r="D241" s="107">
        <f>SUM(D235:D240)</f>
        <v>881.5455373876553</v>
      </c>
      <c r="F241" s="204"/>
      <c r="G241" s="86" t="s">
        <v>27</v>
      </c>
      <c r="H241" s="107">
        <f>SUM(H235:H240)</f>
        <v>1090.097935904045</v>
      </c>
      <c r="J241" s="204"/>
      <c r="K241" s="86" t="s">
        <v>27</v>
      </c>
      <c r="L241" s="107">
        <f>SUM(L235:L240)</f>
        <v>1192.276314884961</v>
      </c>
    </row>
    <row r="242" spans="1:12" ht="13.5" thickBot="1">
      <c r="A242" s="274"/>
      <c r="B242" s="205"/>
      <c r="C242" s="94"/>
      <c r="D242" s="206"/>
      <c r="F242" s="205"/>
      <c r="G242" s="94"/>
      <c r="H242" s="206"/>
      <c r="J242" s="205"/>
      <c r="K242" s="94"/>
      <c r="L242" s="206"/>
    </row>
    <row r="243" spans="1:12" ht="21" thickBot="1">
      <c r="A243" s="67"/>
      <c r="B243" s="207"/>
      <c r="C243" s="97" t="s">
        <v>28</v>
      </c>
      <c r="D243" s="532">
        <f>D234-D241</f>
        <v>11569.662617805216</v>
      </c>
      <c r="F243" s="207"/>
      <c r="G243" s="97" t="s">
        <v>28</v>
      </c>
      <c r="H243" s="532">
        <f>H234-H241</f>
        <v>14306.765565565518</v>
      </c>
      <c r="J243" s="207"/>
      <c r="K243" s="97" t="s">
        <v>28</v>
      </c>
      <c r="L243" s="532">
        <f>L234-L241</f>
        <v>15647.78462981788</v>
      </c>
    </row>
    <row r="244" spans="1:14" ht="13.5" thickBot="1">
      <c r="A244" s="67"/>
      <c r="E244" s="211"/>
      <c r="I244" s="211"/>
      <c r="M244" s="464" t="s">
        <v>485</v>
      </c>
      <c r="N244" s="465"/>
    </row>
    <row r="245" spans="1:14" ht="16.5" thickTop="1">
      <c r="A245" s="67"/>
      <c r="B245" s="362"/>
      <c r="C245" s="364"/>
      <c r="D245" s="371"/>
      <c r="E245" s="516"/>
      <c r="F245" s="362" t="s">
        <v>379</v>
      </c>
      <c r="G245" s="364"/>
      <c r="H245" s="371">
        <f>H243-D243</f>
        <v>2737.1029477603024</v>
      </c>
      <c r="I245" s="516"/>
      <c r="J245" s="362" t="s">
        <v>379</v>
      </c>
      <c r="K245" s="364"/>
      <c r="L245" s="371">
        <f>L243-H243</f>
        <v>1341.0190642523612</v>
      </c>
      <c r="M245" s="439" t="s">
        <v>398</v>
      </c>
      <c r="N245" s="440">
        <f>L243-D243</f>
        <v>4078.1220120126636</v>
      </c>
    </row>
    <row r="246" spans="1:14" ht="16.5" thickBot="1">
      <c r="A246" s="67"/>
      <c r="B246" s="363"/>
      <c r="C246" s="364"/>
      <c r="D246" s="372"/>
      <c r="E246" s="517"/>
      <c r="F246" s="363" t="s">
        <v>373</v>
      </c>
      <c r="G246" s="364"/>
      <c r="H246" s="372">
        <f>H245/D243</f>
        <v>0.23657586553544077</v>
      </c>
      <c r="I246" s="517"/>
      <c r="J246" s="363" t="s">
        <v>373</v>
      </c>
      <c r="K246" s="364"/>
      <c r="L246" s="372">
        <f>L245/H243</f>
        <v>0.09373321021489411</v>
      </c>
      <c r="M246" s="441" t="s">
        <v>399</v>
      </c>
      <c r="N246" s="442">
        <f>N245/D243</f>
        <v>0.3524840910863389</v>
      </c>
    </row>
    <row r="247" ht="12.75">
      <c r="A247" s="67"/>
    </row>
    <row r="248" spans="1:7" ht="15.75">
      <c r="A248" s="67"/>
      <c r="B248" s="374"/>
      <c r="C248" s="438"/>
      <c r="D248" s="373"/>
      <c r="E248" s="435"/>
      <c r="F248" s="436"/>
      <c r="G248" s="529"/>
    </row>
    <row r="249" spans="1:7" ht="15.75">
      <c r="A249" s="67"/>
      <c r="B249" s="374"/>
      <c r="C249" s="438"/>
      <c r="D249" s="373"/>
      <c r="E249" s="435"/>
      <c r="F249" s="436"/>
      <c r="G249" s="437"/>
    </row>
    <row r="250" spans="1:11" ht="12.75">
      <c r="A250" s="67"/>
      <c r="B250" s="291"/>
      <c r="C250" s="291"/>
      <c r="D250" s="291"/>
      <c r="E250" s="432"/>
      <c r="F250" s="429"/>
      <c r="G250" s="429"/>
      <c r="H250" s="430"/>
      <c r="I250" s="11"/>
      <c r="J250" s="431"/>
      <c r="K250" s="429"/>
    </row>
    <row r="251" spans="1:11" ht="20.25">
      <c r="A251" s="67"/>
      <c r="B251" s="366" t="s">
        <v>31</v>
      </c>
      <c r="C251" s="155"/>
      <c r="D251" s="155"/>
      <c r="E251" s="432"/>
      <c r="F251" s="366" t="s">
        <v>31</v>
      </c>
      <c r="G251" s="155"/>
      <c r="H251" s="155"/>
      <c r="I251" s="11"/>
      <c r="J251" s="366" t="s">
        <v>31</v>
      </c>
      <c r="K251" s="155"/>
    </row>
    <row r="252" spans="1:10" ht="13.5" thickBot="1">
      <c r="A252" s="67"/>
      <c r="B252" s="67"/>
      <c r="C252" s="67"/>
      <c r="D252" s="67"/>
      <c r="E252" s="67"/>
      <c r="F252" s="67"/>
      <c r="G252" s="67"/>
      <c r="H252" s="14"/>
      <c r="I252" s="11"/>
      <c r="J252" s="11"/>
    </row>
    <row r="253" spans="1:10" ht="16.5" thickBot="1">
      <c r="A253" s="67"/>
      <c r="B253" s="101" t="s">
        <v>30</v>
      </c>
      <c r="C253" s="36"/>
      <c r="D253" s="12">
        <v>36</v>
      </c>
      <c r="E253" s="67"/>
      <c r="F253" s="67"/>
      <c r="G253" s="281"/>
      <c r="H253" s="14"/>
      <c r="I253" s="11"/>
      <c r="J253" s="102"/>
    </row>
    <row r="254" spans="1:10" ht="16.5" thickBot="1">
      <c r="A254" s="67"/>
      <c r="B254" s="77" t="s">
        <v>14</v>
      </c>
      <c r="C254" s="36"/>
      <c r="D254" s="122">
        <v>1.2</v>
      </c>
      <c r="E254" s="211"/>
      <c r="F254" s="67"/>
      <c r="G254" s="67"/>
      <c r="H254" s="14"/>
      <c r="I254" s="11"/>
      <c r="J254" s="103"/>
    </row>
    <row r="255" spans="1:10" ht="16.5" thickBot="1">
      <c r="A255" s="67"/>
      <c r="B255" s="336" t="s">
        <v>371</v>
      </c>
      <c r="C255" s="337"/>
      <c r="D255" s="360">
        <v>0.82</v>
      </c>
      <c r="E255" s="211"/>
      <c r="F255" s="67"/>
      <c r="G255" s="67"/>
      <c r="H255" s="14"/>
      <c r="I255" s="11"/>
      <c r="J255" s="103"/>
    </row>
    <row r="256" spans="1:10" ht="12.75">
      <c r="A256" s="67"/>
      <c r="E256" s="67"/>
      <c r="F256" s="289"/>
      <c r="G256" s="67"/>
      <c r="H256" s="14"/>
      <c r="I256" s="68"/>
      <c r="J256" s="105"/>
    </row>
    <row r="257" spans="1:10" ht="18.75" thickBot="1">
      <c r="A257" s="67"/>
      <c r="B257" s="80" t="s">
        <v>16</v>
      </c>
      <c r="C257" s="104"/>
      <c r="D257" s="108">
        <f>D253*86.9</f>
        <v>3128.4</v>
      </c>
      <c r="E257" s="67" t="s">
        <v>32</v>
      </c>
      <c r="F257" s="278"/>
      <c r="G257" s="274"/>
      <c r="H257" s="14"/>
      <c r="I257" s="11"/>
      <c r="J257" s="105"/>
    </row>
    <row r="258" spans="1:10" ht="12.75">
      <c r="A258" s="67"/>
      <c r="B258" s="67"/>
      <c r="C258" s="67"/>
      <c r="D258" s="67"/>
      <c r="E258" s="67"/>
      <c r="F258" s="67"/>
      <c r="G258" s="67"/>
      <c r="H258" s="14"/>
      <c r="I258" s="11"/>
      <c r="J258" s="11"/>
    </row>
    <row r="259" spans="1:10" ht="12.75">
      <c r="A259" s="67"/>
      <c r="B259" s="11"/>
      <c r="C259" s="11"/>
      <c r="D259" s="290"/>
      <c r="E259" s="67"/>
      <c r="F259" s="67"/>
      <c r="G259" s="67"/>
      <c r="H259" s="14"/>
      <c r="I259" s="11"/>
      <c r="J259" s="68"/>
    </row>
    <row r="260" spans="1:12" ht="18">
      <c r="A260" s="212"/>
      <c r="B260" s="499" t="s">
        <v>421</v>
      </c>
      <c r="C260" s="500"/>
      <c r="D260" s="500"/>
      <c r="F260" s="508" t="s">
        <v>427</v>
      </c>
      <c r="G260" s="509"/>
      <c r="H260" s="509"/>
      <c r="J260" s="510" t="s">
        <v>480</v>
      </c>
      <c r="K260" s="511"/>
      <c r="L260" s="511"/>
    </row>
    <row r="261" ht="13.5" thickBot="1">
      <c r="A261" s="67"/>
    </row>
    <row r="262" spans="1:12" ht="12.75">
      <c r="A262" s="67"/>
      <c r="B262" s="191">
        <v>400</v>
      </c>
      <c r="C262" s="192" t="s">
        <v>18</v>
      </c>
      <c r="D262" s="193">
        <f>puntostotalhorassup*indiceago14*porjubhorsup</f>
        <v>6375.766795199999</v>
      </c>
      <c r="F262" s="191">
        <v>400</v>
      </c>
      <c r="G262" s="192" t="s">
        <v>18</v>
      </c>
      <c r="H262" s="193">
        <f>puntostotalhorassup*indicemar15*porjubhorsup</f>
        <v>7714.590602399999</v>
      </c>
      <c r="J262" s="191">
        <v>400</v>
      </c>
      <c r="K262" s="192" t="s">
        <v>18</v>
      </c>
      <c r="L262" s="193">
        <f>puntostotalhorassup*indicejul15*porjubhorsup</f>
        <v>8409.014064</v>
      </c>
    </row>
    <row r="263" spans="1:12" ht="12.75">
      <c r="A263" s="67"/>
      <c r="B263" s="194">
        <v>406</v>
      </c>
      <c r="C263" s="17" t="s">
        <v>19</v>
      </c>
      <c r="D263" s="195">
        <f>D262*porcantigsup</f>
        <v>7650.920154239999</v>
      </c>
      <c r="F263" s="194">
        <v>406</v>
      </c>
      <c r="G263" s="17" t="s">
        <v>19</v>
      </c>
      <c r="H263" s="195">
        <f>H262*porcantigsup</f>
        <v>9257.508722879998</v>
      </c>
      <c r="J263" s="194">
        <v>406</v>
      </c>
      <c r="K263" s="17" t="s">
        <v>19</v>
      </c>
      <c r="L263" s="195">
        <f>L262*porcantigsup</f>
        <v>10090.816876800001</v>
      </c>
    </row>
    <row r="264" spans="1:12" ht="12.75">
      <c r="A264" s="274"/>
      <c r="B264" s="194">
        <v>432</v>
      </c>
      <c r="C264" s="17" t="s">
        <v>324</v>
      </c>
      <c r="D264" s="196">
        <f>IF(numhorassup&gt;17,17*30.4419,30.4419*numhorassup)*porjubhorsup</f>
        <v>424.36008599999997</v>
      </c>
      <c r="F264" s="194">
        <v>432</v>
      </c>
      <c r="G264" s="17" t="s">
        <v>324</v>
      </c>
      <c r="H264" s="196">
        <f>IF(numhorassup&gt;17,17*47.35,47.35*numhorassup)*porjubhorsup</f>
        <v>660.059</v>
      </c>
      <c r="J264" s="194">
        <v>432</v>
      </c>
      <c r="K264" s="17" t="s">
        <v>324</v>
      </c>
      <c r="L264" s="196">
        <f>IF(numhorassup&gt;17,17*52.5,53.03*numhorassup)*porjubhorsup</f>
        <v>731.8499999999999</v>
      </c>
    </row>
    <row r="265" spans="1:12" ht="12.75">
      <c r="A265" s="274"/>
      <c r="B265" s="194">
        <v>434</v>
      </c>
      <c r="C265" s="17" t="s">
        <v>320</v>
      </c>
      <c r="D265" s="195">
        <f>(D262+D263+D264)*0.07*0.95</f>
        <v>960.99462785676</v>
      </c>
      <c r="F265" s="194">
        <v>434</v>
      </c>
      <c r="G265" s="17" t="s">
        <v>320</v>
      </c>
      <c r="H265" s="195">
        <f>(H262+H263+H264)*0.07*0.95</f>
        <v>1172.5385286311198</v>
      </c>
      <c r="J265" s="194">
        <v>434</v>
      </c>
      <c r="K265" s="17" t="s">
        <v>320</v>
      </c>
      <c r="L265" s="195">
        <f>(L262+L263+L264)*0.07*0.95</f>
        <v>1278.9067825632</v>
      </c>
    </row>
    <row r="266" spans="1:12" ht="13.5" thickBot="1">
      <c r="A266" s="274"/>
      <c r="B266" s="194"/>
      <c r="C266" s="84" t="s">
        <v>336</v>
      </c>
      <c r="D266" s="197">
        <v>0</v>
      </c>
      <c r="F266" s="194"/>
      <c r="G266" s="84" t="s">
        <v>336</v>
      </c>
      <c r="H266" s="197">
        <v>0</v>
      </c>
      <c r="J266" s="194"/>
      <c r="K266" s="84" t="s">
        <v>336</v>
      </c>
      <c r="L266" s="197">
        <v>0</v>
      </c>
    </row>
    <row r="267" spans="1:12" ht="13.5" thickBot="1">
      <c r="A267" s="274"/>
      <c r="B267" s="198"/>
      <c r="C267" s="86" t="s">
        <v>20</v>
      </c>
      <c r="D267" s="106">
        <f>SUM(D262:D266)</f>
        <v>15412.041663296759</v>
      </c>
      <c r="F267" s="198"/>
      <c r="G267" s="86" t="s">
        <v>20</v>
      </c>
      <c r="H267" s="106">
        <f>SUM(H262:H266)</f>
        <v>18804.69685391112</v>
      </c>
      <c r="J267" s="198"/>
      <c r="K267" s="86" t="s">
        <v>20</v>
      </c>
      <c r="L267" s="106">
        <f>SUM(L262:L266)</f>
        <v>20510.5877233632</v>
      </c>
    </row>
    <row r="268" spans="1:12" ht="12.75">
      <c r="A268" s="274"/>
      <c r="B268" s="194">
        <v>703</v>
      </c>
      <c r="C268" s="88" t="s">
        <v>21</v>
      </c>
      <c r="D268" s="199">
        <f>(D267-D266)*0.0025</f>
        <v>38.5301041582419</v>
      </c>
      <c r="F268" s="194">
        <v>703</v>
      </c>
      <c r="G268" s="88" t="s">
        <v>21</v>
      </c>
      <c r="H268" s="199">
        <f>(H267-H266)*0.0025</f>
        <v>47.0117421347778</v>
      </c>
      <c r="J268" s="194">
        <v>703</v>
      </c>
      <c r="K268" s="88" t="s">
        <v>21</v>
      </c>
      <c r="L268" s="199">
        <f>(L267-L266)*0.0025</f>
        <v>51.276469308408004</v>
      </c>
    </row>
    <row r="269" spans="1:12" ht="12.75">
      <c r="A269" s="67"/>
      <c r="B269" s="200">
        <v>707</v>
      </c>
      <c r="C269" s="90" t="s">
        <v>22</v>
      </c>
      <c r="D269" s="201">
        <f>(D267-D266)*0.03</f>
        <v>462.36124989890277</v>
      </c>
      <c r="F269" s="200">
        <v>707</v>
      </c>
      <c r="G269" s="90" t="s">
        <v>22</v>
      </c>
      <c r="H269" s="201">
        <f>(H267-H266)*0.03</f>
        <v>564.1409056173335</v>
      </c>
      <c r="J269" s="200">
        <v>707</v>
      </c>
      <c r="K269" s="90" t="s">
        <v>22</v>
      </c>
      <c r="L269" s="201">
        <f>(L267-L266)*0.03</f>
        <v>615.3176317008961</v>
      </c>
    </row>
    <row r="270" spans="1:12" ht="12.75">
      <c r="A270" s="142"/>
      <c r="B270" s="200">
        <v>709</v>
      </c>
      <c r="C270" s="90" t="s">
        <v>23</v>
      </c>
      <c r="D270" s="201">
        <f>(D267-D266)*0.0213</f>
        <v>328.27648742822095</v>
      </c>
      <c r="F270" s="200">
        <v>709</v>
      </c>
      <c r="G270" s="90" t="s">
        <v>23</v>
      </c>
      <c r="H270" s="201">
        <f>(H267-H266)*0.0213</f>
        <v>400.5400429883068</v>
      </c>
      <c r="J270" s="200">
        <v>709</v>
      </c>
      <c r="K270" s="90" t="s">
        <v>23</v>
      </c>
      <c r="L270" s="201">
        <f>(L267-L266)*0.0213</f>
        <v>436.8755185076362</v>
      </c>
    </row>
    <row r="271" spans="1:12" ht="12.75">
      <c r="A271" s="142"/>
      <c r="B271" s="202">
        <v>713</v>
      </c>
      <c r="C271" s="90" t="s">
        <v>25</v>
      </c>
      <c r="D271" s="201">
        <f>(D267-D266)*0.007</f>
        <v>107.88429164307732</v>
      </c>
      <c r="F271" s="202">
        <v>713</v>
      </c>
      <c r="G271" s="90" t="s">
        <v>25</v>
      </c>
      <c r="H271" s="201">
        <f>(H267-H266)*0.007</f>
        <v>131.63287797737783</v>
      </c>
      <c r="J271" s="202">
        <v>713</v>
      </c>
      <c r="K271" s="90" t="s">
        <v>25</v>
      </c>
      <c r="L271" s="201">
        <f>(L267-L266)*0.007</f>
        <v>143.57411406354242</v>
      </c>
    </row>
    <row r="272" spans="1:12" ht="12.75">
      <c r="A272" s="142"/>
      <c r="B272" s="202">
        <v>787</v>
      </c>
      <c r="C272" s="90" t="s">
        <v>400</v>
      </c>
      <c r="D272" s="201">
        <f>(D268-D267)*0.01</f>
        <v>-153.73511559138518</v>
      </c>
      <c r="F272" s="202">
        <v>787</v>
      </c>
      <c r="G272" s="90" t="s">
        <v>400</v>
      </c>
      <c r="H272" s="201">
        <f>(H268-H267)*0.01</f>
        <v>-187.5768511177634</v>
      </c>
      <c r="J272" s="202">
        <v>787</v>
      </c>
      <c r="K272" s="90" t="s">
        <v>400</v>
      </c>
      <c r="L272" s="201">
        <f>(L268-L267)*0.01</f>
        <v>-204.59311254054796</v>
      </c>
    </row>
    <row r="273" spans="1:12" ht="13.5" thickBot="1">
      <c r="A273" s="143"/>
      <c r="B273" s="202"/>
      <c r="C273" s="91" t="s">
        <v>26</v>
      </c>
      <c r="D273" s="203">
        <v>0</v>
      </c>
      <c r="F273" s="202"/>
      <c r="G273" s="91" t="s">
        <v>26</v>
      </c>
      <c r="H273" s="203">
        <v>0</v>
      </c>
      <c r="J273" s="202"/>
      <c r="K273" s="91" t="s">
        <v>26</v>
      </c>
      <c r="L273" s="203">
        <v>0</v>
      </c>
    </row>
    <row r="274" spans="1:12" ht="13.5" thickBot="1">
      <c r="A274" s="274"/>
      <c r="B274" s="204"/>
      <c r="C274" s="86" t="s">
        <v>27</v>
      </c>
      <c r="D274" s="107">
        <f>SUM(D268:D273)</f>
        <v>783.3170175370578</v>
      </c>
      <c r="F274" s="204"/>
      <c r="G274" s="86" t="s">
        <v>27</v>
      </c>
      <c r="H274" s="107">
        <f>SUM(H268:H273)</f>
        <v>955.7487176000325</v>
      </c>
      <c r="J274" s="204"/>
      <c r="K274" s="86" t="s">
        <v>27</v>
      </c>
      <c r="L274" s="107">
        <f>SUM(L268:L273)</f>
        <v>1042.4506210399347</v>
      </c>
    </row>
    <row r="275" spans="1:12" ht="13.5" thickBot="1">
      <c r="A275" s="274"/>
      <c r="B275" s="205"/>
      <c r="C275" s="94"/>
      <c r="D275" s="206"/>
      <c r="F275" s="205"/>
      <c r="G275" s="94"/>
      <c r="H275" s="206"/>
      <c r="J275" s="205"/>
      <c r="K275" s="94"/>
      <c r="L275" s="206"/>
    </row>
    <row r="276" spans="1:12" ht="18.75" thickBot="1">
      <c r="A276" s="67"/>
      <c r="B276" s="207"/>
      <c r="C276" s="97" t="s">
        <v>28</v>
      </c>
      <c r="D276" s="531">
        <f>D267-D274</f>
        <v>14628.724645759701</v>
      </c>
      <c r="F276" s="207"/>
      <c r="G276" s="97" t="s">
        <v>28</v>
      </c>
      <c r="H276" s="531">
        <f>H267-H274</f>
        <v>17848.948136311086</v>
      </c>
      <c r="J276" s="207"/>
      <c r="K276" s="97" t="s">
        <v>28</v>
      </c>
      <c r="L276" s="531">
        <f>L267-L274</f>
        <v>19468.137102323268</v>
      </c>
    </row>
    <row r="277" spans="1:14" ht="13.5" thickBot="1">
      <c r="A277" s="67"/>
      <c r="E277" s="211"/>
      <c r="I277" s="68"/>
      <c r="M277" s="464" t="s">
        <v>485</v>
      </c>
      <c r="N277" s="465"/>
    </row>
    <row r="278" spans="1:14" ht="16.5" thickTop="1">
      <c r="A278" s="67"/>
      <c r="B278" s="125"/>
      <c r="C278" s="501"/>
      <c r="D278" s="528"/>
      <c r="E278" s="435"/>
      <c r="F278" s="362" t="s">
        <v>379</v>
      </c>
      <c r="G278" s="364"/>
      <c r="H278" s="371">
        <f>H276-D276</f>
        <v>3220.223490551385</v>
      </c>
      <c r="I278" s="435"/>
      <c r="J278" s="362" t="s">
        <v>379</v>
      </c>
      <c r="K278" s="364"/>
      <c r="L278" s="371">
        <f>L276-H276</f>
        <v>1619.1889660121815</v>
      </c>
      <c r="M278" s="439" t="s">
        <v>398</v>
      </c>
      <c r="N278" s="440">
        <f>L276-D276</f>
        <v>4839.412456563567</v>
      </c>
    </row>
    <row r="279" spans="1:14" ht="16.5" thickBot="1">
      <c r="A279" s="67"/>
      <c r="B279" s="125"/>
      <c r="C279" s="501"/>
      <c r="D279" s="529"/>
      <c r="E279" s="435"/>
      <c r="F279" s="363" t="s">
        <v>373</v>
      </c>
      <c r="G279" s="364"/>
      <c r="H279" s="372">
        <f>H278/D276</f>
        <v>0.22013015956827123</v>
      </c>
      <c r="I279" s="435"/>
      <c r="J279" s="363" t="s">
        <v>373</v>
      </c>
      <c r="K279" s="364"/>
      <c r="L279" s="372">
        <f>L278/H276</f>
        <v>0.09071621216256308</v>
      </c>
      <c r="M279" s="441" t="s">
        <v>399</v>
      </c>
      <c r="N279" s="442">
        <f>N278/D276</f>
        <v>0.3308157459896085</v>
      </c>
    </row>
    <row r="280" spans="2:21" s="67" customFormat="1" ht="16.5" thickBot="1">
      <c r="B280" s="374"/>
      <c r="C280" s="438"/>
      <c r="D280" s="533"/>
      <c r="E280" s="533"/>
      <c r="F280" s="533"/>
      <c r="G280" s="533"/>
      <c r="H280" s="533"/>
      <c r="I280" s="533"/>
      <c r="J280" s="533"/>
      <c r="K280" s="533"/>
      <c r="L280" s="533"/>
      <c r="M280" s="438"/>
      <c r="N280" s="373"/>
      <c r="O280" s="435"/>
      <c r="P280" s="466"/>
      <c r="Q280" s="374"/>
      <c r="R280" s="438"/>
      <c r="S280" s="373"/>
      <c r="T280" s="435"/>
      <c r="U280" s="466"/>
    </row>
    <row r="281" spans="1:12" ht="16.5" thickTop="1">
      <c r="A281" s="67"/>
      <c r="B281" s="420" t="s">
        <v>11</v>
      </c>
      <c r="C281" s="421"/>
      <c r="D281" s="321"/>
      <c r="E281" s="67"/>
      <c r="F281" s="67"/>
      <c r="G281" s="67"/>
      <c r="H281" s="14"/>
      <c r="L281" s="14"/>
    </row>
    <row r="282" spans="1:7" ht="15.75">
      <c r="A282" s="67"/>
      <c r="B282" s="422" t="s">
        <v>12</v>
      </c>
      <c r="C282" s="423"/>
      <c r="D282" s="322"/>
      <c r="E282" s="67"/>
      <c r="F282" s="67"/>
      <c r="G282" s="67"/>
    </row>
    <row r="283" spans="1:7" ht="15.75">
      <c r="A283" s="67"/>
      <c r="B283" s="424" t="s">
        <v>344</v>
      </c>
      <c r="C283" s="423"/>
      <c r="D283" s="322"/>
      <c r="E283" s="67"/>
      <c r="F283" s="67"/>
      <c r="G283" s="67"/>
    </row>
    <row r="284" spans="1:7" ht="15.75">
      <c r="A284" s="67"/>
      <c r="B284" s="424" t="s">
        <v>335</v>
      </c>
      <c r="C284" s="423"/>
      <c r="D284" s="322"/>
      <c r="E284" s="67"/>
      <c r="F284" s="67"/>
      <c r="G284" s="67"/>
    </row>
    <row r="285" spans="1:7" ht="15.75" thickBot="1">
      <c r="A285" s="67"/>
      <c r="B285" s="419"/>
      <c r="C285" s="323"/>
      <c r="D285" s="324"/>
      <c r="E285" s="67"/>
      <c r="F285" s="67"/>
      <c r="G285" s="67"/>
    </row>
    <row r="286" spans="1:7" ht="13.5" thickTop="1">
      <c r="A286" s="67"/>
      <c r="B286" s="67"/>
      <c r="C286" s="67"/>
      <c r="D286" s="67"/>
      <c r="E286" s="67"/>
      <c r="F286" s="67"/>
      <c r="G286" s="67"/>
    </row>
    <row r="287" spans="1:7" ht="12.75">
      <c r="A287" s="67"/>
      <c r="B287" s="67"/>
      <c r="C287" s="67"/>
      <c r="D287" s="67"/>
      <c r="E287" s="67"/>
      <c r="F287" s="67"/>
      <c r="G287" s="67"/>
    </row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</sheetData>
  <sheetProtection password="DFB3" sheet="1" selectLockedCells="1"/>
  <hyperlinks>
    <hyperlink ref="D12" location="cargosingreso" display="cargos de ingreso"/>
    <hyperlink ref="D13" location="horasmedia" display="horas nivel medio"/>
    <hyperlink ref="D14" location="horassuperior" display="horas nivel superior"/>
    <hyperlink ref="D11" location="instructivo" display="instructivo"/>
    <hyperlink ref="B35" location="Cargos!A1" display="Cargos"/>
    <hyperlink ref="D15" location="Cargos!A1" display="Cargos"/>
    <hyperlink ref="B284" r:id="rId1" display="www.agmeruruguay.com.ar"/>
    <hyperlink ref="B283" r:id="rId2" display="victorhutt@victorhutt.com.ar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V337"/>
  <sheetViews>
    <sheetView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2" max="2" width="64.57421875" style="0" bestFit="1" customWidth="1"/>
    <col min="4" max="4" width="15.8515625" style="0" customWidth="1"/>
    <col min="5" max="5" width="19.57421875" style="0" customWidth="1"/>
    <col min="6" max="6" width="22.7109375" style="456" hidden="1" customWidth="1"/>
    <col min="7" max="8" width="21.140625" style="456" customWidth="1"/>
    <col min="9" max="9" width="12.00390625" style="0" hidden="1" customWidth="1"/>
    <col min="10" max="10" width="21.57421875" style="462" customWidth="1"/>
    <col min="12" max="12" width="11.140625" style="462" customWidth="1"/>
    <col min="19" max="19" width="12.28125" style="0" bestFit="1" customWidth="1"/>
  </cols>
  <sheetData>
    <row r="1" spans="1:17" ht="13.5" thickBot="1">
      <c r="A1" s="19"/>
      <c r="B1" s="468" t="s">
        <v>435</v>
      </c>
      <c r="C1" s="20"/>
      <c r="D1" s="443"/>
      <c r="E1" s="454" t="s">
        <v>407</v>
      </c>
      <c r="F1" s="454"/>
      <c r="G1" s="454"/>
      <c r="H1" s="454"/>
      <c r="I1" s="454"/>
      <c r="J1" s="457"/>
      <c r="K1" s="457"/>
      <c r="L1" s="457"/>
      <c r="M1" s="454"/>
      <c r="N1" s="21" t="s">
        <v>33</v>
      </c>
      <c r="O1" s="22" t="s">
        <v>34</v>
      </c>
      <c r="P1" s="22" t="s">
        <v>35</v>
      </c>
      <c r="Q1" s="469" t="s">
        <v>408</v>
      </c>
    </row>
    <row r="2" spans="1:17" ht="12.75">
      <c r="A2" s="23" t="s">
        <v>36</v>
      </c>
      <c r="B2" s="24" t="s">
        <v>37</v>
      </c>
      <c r="C2" s="23" t="s">
        <v>38</v>
      </c>
      <c r="D2" s="185" t="s">
        <v>409</v>
      </c>
      <c r="E2" s="185" t="s">
        <v>355</v>
      </c>
      <c r="F2" s="455" t="s">
        <v>401</v>
      </c>
      <c r="G2" s="455" t="s">
        <v>424</v>
      </c>
      <c r="H2" s="455" t="s">
        <v>479</v>
      </c>
      <c r="I2" s="185" t="s">
        <v>410</v>
      </c>
      <c r="J2" s="458" t="s">
        <v>411</v>
      </c>
      <c r="K2" s="458" t="s">
        <v>436</v>
      </c>
      <c r="L2" s="458" t="s">
        <v>420</v>
      </c>
      <c r="M2" s="185" t="s">
        <v>437</v>
      </c>
      <c r="N2" s="25" t="s">
        <v>39</v>
      </c>
      <c r="O2" s="25" t="s">
        <v>40</v>
      </c>
      <c r="P2" s="25" t="s">
        <v>41</v>
      </c>
      <c r="Q2" s="470" t="s">
        <v>412</v>
      </c>
    </row>
    <row r="3" spans="1:17" ht="12.75">
      <c r="A3" s="26">
        <v>461</v>
      </c>
      <c r="B3" s="27" t="s">
        <v>438</v>
      </c>
      <c r="C3" s="26">
        <v>2220</v>
      </c>
      <c r="D3" s="186"/>
      <c r="E3" s="186"/>
      <c r="F3" s="367"/>
      <c r="G3" s="367">
        <v>7</v>
      </c>
      <c r="H3" s="367">
        <v>7</v>
      </c>
      <c r="I3" s="534"/>
      <c r="J3" s="459"/>
      <c r="K3" s="459"/>
      <c r="L3" s="459">
        <v>521.4</v>
      </c>
      <c r="M3" s="471">
        <f aca="true" t="shared" si="0" ref="M3:M66">C3+G3+L3</f>
        <v>2748.4</v>
      </c>
      <c r="N3" s="28">
        <v>0</v>
      </c>
      <c r="O3" s="26">
        <v>0</v>
      </c>
      <c r="P3" s="26">
        <v>0</v>
      </c>
      <c r="Q3" s="472"/>
    </row>
    <row r="4" spans="1:17" ht="12.75">
      <c r="A4" s="26">
        <v>462</v>
      </c>
      <c r="B4" s="27" t="s">
        <v>438</v>
      </c>
      <c r="C4" s="26">
        <v>2220</v>
      </c>
      <c r="D4" s="186"/>
      <c r="E4" s="186"/>
      <c r="F4" s="367"/>
      <c r="G4" s="367">
        <v>7</v>
      </c>
      <c r="H4" s="367">
        <v>7</v>
      </c>
      <c r="I4" s="534"/>
      <c r="J4" s="459"/>
      <c r="K4" s="459"/>
      <c r="L4" s="459">
        <v>521.4</v>
      </c>
      <c r="M4" s="471">
        <f t="shared" si="0"/>
        <v>2748.4</v>
      </c>
      <c r="N4" s="28">
        <v>0</v>
      </c>
      <c r="O4" s="26">
        <v>0</v>
      </c>
      <c r="P4" s="26">
        <v>0</v>
      </c>
      <c r="Q4" s="472"/>
    </row>
    <row r="5" spans="1:17" ht="12.75">
      <c r="A5" s="26">
        <v>470</v>
      </c>
      <c r="B5" s="27" t="s">
        <v>439</v>
      </c>
      <c r="C5" s="26">
        <v>1580</v>
      </c>
      <c r="D5" s="186"/>
      <c r="E5" s="186"/>
      <c r="F5" s="367"/>
      <c r="G5" s="367">
        <v>90</v>
      </c>
      <c r="H5" s="367">
        <v>90</v>
      </c>
      <c r="I5" s="534"/>
      <c r="J5" s="459"/>
      <c r="K5" s="459"/>
      <c r="L5" s="459">
        <v>347.6</v>
      </c>
      <c r="M5" s="471">
        <f t="shared" si="0"/>
        <v>2017.6</v>
      </c>
      <c r="N5" s="28">
        <v>0</v>
      </c>
      <c r="O5" s="26">
        <v>0</v>
      </c>
      <c r="P5" s="26">
        <v>0</v>
      </c>
      <c r="Q5" s="472"/>
    </row>
    <row r="6" spans="1:17" ht="12.75">
      <c r="A6" s="26">
        <v>600</v>
      </c>
      <c r="B6" s="27" t="s">
        <v>42</v>
      </c>
      <c r="C6" s="26">
        <v>1300</v>
      </c>
      <c r="D6" s="186">
        <v>127</v>
      </c>
      <c r="E6" s="186">
        <v>127</v>
      </c>
      <c r="F6" s="367">
        <v>127</v>
      </c>
      <c r="G6" s="367">
        <v>127</v>
      </c>
      <c r="H6" s="367">
        <v>127</v>
      </c>
      <c r="I6" s="534">
        <f aca="true" t="shared" si="1" ref="I6:I69">A6</f>
        <v>600</v>
      </c>
      <c r="J6" s="459">
        <v>0</v>
      </c>
      <c r="K6" s="459">
        <v>0</v>
      </c>
      <c r="L6" s="459">
        <v>0</v>
      </c>
      <c r="M6" s="471">
        <f t="shared" si="0"/>
        <v>1427</v>
      </c>
      <c r="N6" s="28">
        <v>0</v>
      </c>
      <c r="O6" s="26">
        <v>0</v>
      </c>
      <c r="P6" s="26">
        <v>0</v>
      </c>
      <c r="Q6" s="472"/>
    </row>
    <row r="7" spans="1:17" ht="12.75">
      <c r="A7" s="26">
        <v>603</v>
      </c>
      <c r="B7" s="27" t="s">
        <v>43</v>
      </c>
      <c r="C7" s="26">
        <v>3146</v>
      </c>
      <c r="D7" s="186">
        <v>0</v>
      </c>
      <c r="E7" s="186">
        <v>0</v>
      </c>
      <c r="F7" s="367">
        <v>0</v>
      </c>
      <c r="G7" s="367">
        <v>0</v>
      </c>
      <c r="H7" s="367">
        <v>0</v>
      </c>
      <c r="I7" s="534">
        <f t="shared" si="1"/>
        <v>603</v>
      </c>
      <c r="J7" s="459">
        <v>0</v>
      </c>
      <c r="K7" s="459">
        <v>0</v>
      </c>
      <c r="L7" s="459">
        <v>0</v>
      </c>
      <c r="M7" s="471">
        <f t="shared" si="0"/>
        <v>3146</v>
      </c>
      <c r="N7" s="28">
        <v>0</v>
      </c>
      <c r="O7" s="26">
        <v>0</v>
      </c>
      <c r="P7" s="26">
        <v>0</v>
      </c>
      <c r="Q7" s="472"/>
    </row>
    <row r="8" spans="1:17" ht="12.75">
      <c r="A8" s="26">
        <v>604</v>
      </c>
      <c r="B8" s="27" t="s">
        <v>381</v>
      </c>
      <c r="C8" s="26">
        <v>1610</v>
      </c>
      <c r="D8" s="186">
        <v>87</v>
      </c>
      <c r="E8" s="186">
        <v>87</v>
      </c>
      <c r="F8" s="367">
        <v>87</v>
      </c>
      <c r="G8" s="367">
        <v>87</v>
      </c>
      <c r="H8" s="367">
        <v>87</v>
      </c>
      <c r="I8" s="534">
        <f t="shared" si="1"/>
        <v>604</v>
      </c>
      <c r="J8" s="459">
        <v>388.2</v>
      </c>
      <c r="K8" s="459">
        <v>388.2</v>
      </c>
      <c r="L8" s="459">
        <v>388.2</v>
      </c>
      <c r="M8" s="471">
        <f t="shared" si="0"/>
        <v>2085.2</v>
      </c>
      <c r="N8" s="28">
        <v>0</v>
      </c>
      <c r="O8" s="26">
        <v>0</v>
      </c>
      <c r="P8" s="26">
        <v>0</v>
      </c>
      <c r="Q8" s="472"/>
    </row>
    <row r="9" spans="1:19" ht="12.75">
      <c r="A9" s="26">
        <v>605</v>
      </c>
      <c r="B9" s="27" t="s">
        <v>44</v>
      </c>
      <c r="C9" s="26">
        <v>2913</v>
      </c>
      <c r="D9" s="186">
        <v>0</v>
      </c>
      <c r="E9" s="186">
        <v>0</v>
      </c>
      <c r="F9" s="367">
        <v>0</v>
      </c>
      <c r="G9" s="367">
        <v>0</v>
      </c>
      <c r="H9" s="367">
        <v>0</v>
      </c>
      <c r="I9" s="534">
        <f t="shared" si="1"/>
        <v>605</v>
      </c>
      <c r="J9" s="459">
        <v>776.4</v>
      </c>
      <c r="K9" s="459">
        <v>776.4</v>
      </c>
      <c r="L9" s="459">
        <v>776.4</v>
      </c>
      <c r="M9" s="471">
        <f t="shared" si="0"/>
        <v>3689.4</v>
      </c>
      <c r="N9" s="28">
        <v>0</v>
      </c>
      <c r="O9" s="26">
        <v>0</v>
      </c>
      <c r="P9" s="26">
        <v>0</v>
      </c>
      <c r="Q9" s="472"/>
      <c r="S9">
        <v>233</v>
      </c>
    </row>
    <row r="10" spans="1:17" ht="12.75">
      <c r="A10" s="26">
        <v>606</v>
      </c>
      <c r="B10" s="27" t="s">
        <v>45</v>
      </c>
      <c r="C10" s="26">
        <v>2913</v>
      </c>
      <c r="D10" s="186">
        <v>0</v>
      </c>
      <c r="E10" s="186">
        <v>0</v>
      </c>
      <c r="F10" s="367">
        <v>0</v>
      </c>
      <c r="G10" s="367">
        <v>0</v>
      </c>
      <c r="H10" s="367">
        <v>0</v>
      </c>
      <c r="I10" s="534">
        <f t="shared" si="1"/>
        <v>606</v>
      </c>
      <c r="J10" s="459">
        <v>0</v>
      </c>
      <c r="K10" s="459">
        <v>0</v>
      </c>
      <c r="L10" s="459">
        <v>0</v>
      </c>
      <c r="M10" s="471">
        <f t="shared" si="0"/>
        <v>2913</v>
      </c>
      <c r="N10" s="28">
        <v>0</v>
      </c>
      <c r="O10" s="26">
        <v>0</v>
      </c>
      <c r="P10" s="26">
        <v>0</v>
      </c>
      <c r="Q10" s="472"/>
    </row>
    <row r="11" spans="1:17" ht="12.75">
      <c r="A11" s="26">
        <v>608</v>
      </c>
      <c r="B11" s="27" t="s">
        <v>46</v>
      </c>
      <c r="C11" s="26">
        <v>2913</v>
      </c>
      <c r="D11" s="186">
        <v>0</v>
      </c>
      <c r="E11" s="186">
        <v>0</v>
      </c>
      <c r="F11" s="367">
        <v>0</v>
      </c>
      <c r="G11" s="367">
        <v>0</v>
      </c>
      <c r="H11" s="367">
        <v>0</v>
      </c>
      <c r="I11" s="534">
        <f t="shared" si="1"/>
        <v>608</v>
      </c>
      <c r="J11" s="459">
        <v>0</v>
      </c>
      <c r="K11" s="459">
        <v>0</v>
      </c>
      <c r="L11" s="459">
        <v>0</v>
      </c>
      <c r="M11" s="471">
        <f t="shared" si="0"/>
        <v>2913</v>
      </c>
      <c r="N11" s="28">
        <v>0</v>
      </c>
      <c r="O11" s="26">
        <v>0</v>
      </c>
      <c r="P11" s="26">
        <v>0</v>
      </c>
      <c r="Q11" s="472"/>
    </row>
    <row r="12" spans="1:19" ht="12.75">
      <c r="A12" s="26">
        <v>609</v>
      </c>
      <c r="B12" s="27" t="s">
        <v>47</v>
      </c>
      <c r="C12" s="26">
        <v>2000</v>
      </c>
      <c r="D12" s="186">
        <v>36</v>
      </c>
      <c r="E12" s="186">
        <v>36</v>
      </c>
      <c r="F12" s="367">
        <v>36</v>
      </c>
      <c r="G12" s="367">
        <v>36</v>
      </c>
      <c r="H12" s="367">
        <v>36</v>
      </c>
      <c r="I12" s="534">
        <f t="shared" si="1"/>
        <v>609</v>
      </c>
      <c r="J12" s="459">
        <v>647</v>
      </c>
      <c r="K12" s="459">
        <v>647</v>
      </c>
      <c r="L12" s="459">
        <v>647</v>
      </c>
      <c r="M12" s="471">
        <f t="shared" si="0"/>
        <v>2683</v>
      </c>
      <c r="N12" s="28">
        <v>0</v>
      </c>
      <c r="O12" s="26">
        <v>0</v>
      </c>
      <c r="P12" s="26">
        <v>0</v>
      </c>
      <c r="Q12" s="472"/>
      <c r="S12">
        <f>452.9*0.3</f>
        <v>135.86999999999998</v>
      </c>
    </row>
    <row r="13" spans="1:19" ht="12.75">
      <c r="A13" s="26">
        <v>611</v>
      </c>
      <c r="B13" s="27" t="s">
        <v>48</v>
      </c>
      <c r="C13" s="26">
        <v>1840</v>
      </c>
      <c r="D13" s="186">
        <v>57</v>
      </c>
      <c r="E13" s="186">
        <v>57</v>
      </c>
      <c r="F13" s="367">
        <v>57</v>
      </c>
      <c r="G13" s="367">
        <v>57</v>
      </c>
      <c r="H13" s="367">
        <v>57</v>
      </c>
      <c r="I13" s="534">
        <f t="shared" si="1"/>
        <v>611</v>
      </c>
      <c r="J13" s="459">
        <v>582.3</v>
      </c>
      <c r="K13" s="459">
        <v>582.3</v>
      </c>
      <c r="L13" s="459">
        <v>582.3</v>
      </c>
      <c r="M13" s="471">
        <f t="shared" si="0"/>
        <v>2479.3</v>
      </c>
      <c r="N13" s="28">
        <v>0</v>
      </c>
      <c r="O13" s="26">
        <v>0</v>
      </c>
      <c r="P13" s="26">
        <v>0</v>
      </c>
      <c r="Q13" s="472"/>
      <c r="S13" s="461">
        <v>136</v>
      </c>
    </row>
    <row r="14" spans="1:17" ht="12.75">
      <c r="A14" s="26">
        <v>612</v>
      </c>
      <c r="B14" s="27" t="s">
        <v>49</v>
      </c>
      <c r="C14" s="26">
        <v>1690</v>
      </c>
      <c r="D14" s="186">
        <v>76</v>
      </c>
      <c r="E14" s="186">
        <v>76</v>
      </c>
      <c r="F14" s="367">
        <v>76</v>
      </c>
      <c r="G14" s="367">
        <v>76</v>
      </c>
      <c r="H14" s="367">
        <v>76</v>
      </c>
      <c r="I14" s="534">
        <f t="shared" si="1"/>
        <v>612</v>
      </c>
      <c r="J14" s="459">
        <v>452.9</v>
      </c>
      <c r="K14" s="459">
        <v>452.9</v>
      </c>
      <c r="L14" s="459">
        <v>452.9</v>
      </c>
      <c r="M14" s="471">
        <f t="shared" si="0"/>
        <v>2218.9</v>
      </c>
      <c r="N14" s="28">
        <v>0</v>
      </c>
      <c r="O14" s="26">
        <v>0</v>
      </c>
      <c r="P14" s="26">
        <v>0</v>
      </c>
      <c r="Q14" s="472"/>
    </row>
    <row r="15" spans="1:17" ht="12.75">
      <c r="A15" s="26">
        <v>613</v>
      </c>
      <c r="B15" s="27" t="s">
        <v>50</v>
      </c>
      <c r="C15" s="26">
        <v>1680</v>
      </c>
      <c r="D15" s="186">
        <v>77</v>
      </c>
      <c r="E15" s="186">
        <v>77</v>
      </c>
      <c r="F15" s="367">
        <v>77</v>
      </c>
      <c r="G15" s="367">
        <v>77</v>
      </c>
      <c r="H15" s="367">
        <v>77</v>
      </c>
      <c r="I15" s="534">
        <f t="shared" si="1"/>
        <v>613</v>
      </c>
      <c r="J15" s="459">
        <v>452.9</v>
      </c>
      <c r="K15" s="459">
        <v>452.9</v>
      </c>
      <c r="L15" s="459">
        <v>452.9</v>
      </c>
      <c r="M15" s="471">
        <f t="shared" si="0"/>
        <v>2209.9</v>
      </c>
      <c r="N15" s="28">
        <v>0</v>
      </c>
      <c r="O15" s="26">
        <v>0</v>
      </c>
      <c r="P15" s="26">
        <v>0</v>
      </c>
      <c r="Q15" s="472"/>
    </row>
    <row r="16" spans="1:22" ht="12.75">
      <c r="A16" s="26">
        <v>614</v>
      </c>
      <c r="B16" s="27" t="s">
        <v>51</v>
      </c>
      <c r="C16" s="26">
        <v>1740</v>
      </c>
      <c r="D16" s="186">
        <v>70</v>
      </c>
      <c r="E16" s="186">
        <v>70</v>
      </c>
      <c r="F16" s="367">
        <v>70</v>
      </c>
      <c r="G16" s="367">
        <v>70</v>
      </c>
      <c r="H16" s="367">
        <v>70</v>
      </c>
      <c r="I16" s="534">
        <f t="shared" si="1"/>
        <v>614</v>
      </c>
      <c r="J16" s="459">
        <v>517.6</v>
      </c>
      <c r="K16" s="459">
        <v>517.6</v>
      </c>
      <c r="L16" s="459">
        <v>517.6</v>
      </c>
      <c r="M16" s="471">
        <f t="shared" si="0"/>
        <v>2327.6</v>
      </c>
      <c r="N16" s="28">
        <v>0</v>
      </c>
      <c r="O16" s="26">
        <v>0</v>
      </c>
      <c r="P16" s="26">
        <v>0</v>
      </c>
      <c r="Q16" s="472"/>
      <c r="S16" t="s">
        <v>440</v>
      </c>
      <c r="T16">
        <v>776.4</v>
      </c>
      <c r="U16">
        <f aca="true" t="shared" si="2" ref="U16:U25">0.3*T16</f>
        <v>232.92</v>
      </c>
      <c r="V16">
        <v>233</v>
      </c>
    </row>
    <row r="17" spans="1:22" ht="12.75">
      <c r="A17" s="26">
        <v>615</v>
      </c>
      <c r="B17" s="27" t="s">
        <v>52</v>
      </c>
      <c r="C17" s="26">
        <v>1610</v>
      </c>
      <c r="D17" s="186">
        <v>87</v>
      </c>
      <c r="E17" s="186">
        <v>87</v>
      </c>
      <c r="F17" s="367">
        <v>87</v>
      </c>
      <c r="G17" s="367">
        <v>87</v>
      </c>
      <c r="H17" s="367">
        <v>87</v>
      </c>
      <c r="I17" s="534">
        <f t="shared" si="1"/>
        <v>615</v>
      </c>
      <c r="J17" s="459">
        <v>388.2</v>
      </c>
      <c r="K17" s="459">
        <v>388.2</v>
      </c>
      <c r="L17" s="459">
        <v>388.2</v>
      </c>
      <c r="M17" s="471">
        <f t="shared" si="0"/>
        <v>2085.2</v>
      </c>
      <c r="N17" s="28">
        <v>0</v>
      </c>
      <c r="O17" s="26">
        <v>0</v>
      </c>
      <c r="P17" s="26">
        <v>0</v>
      </c>
      <c r="Q17" s="472"/>
      <c r="S17" t="s">
        <v>441</v>
      </c>
      <c r="T17">
        <v>647</v>
      </c>
      <c r="U17">
        <f t="shared" si="2"/>
        <v>194.1</v>
      </c>
      <c r="V17">
        <v>194</v>
      </c>
    </row>
    <row r="18" spans="1:22" ht="12.75">
      <c r="A18" s="26">
        <v>616</v>
      </c>
      <c r="B18" s="27" t="s">
        <v>53</v>
      </c>
      <c r="C18" s="26">
        <v>1740</v>
      </c>
      <c r="D18" s="186">
        <v>70</v>
      </c>
      <c r="E18" s="186">
        <v>70</v>
      </c>
      <c r="F18" s="367">
        <v>70</v>
      </c>
      <c r="G18" s="367">
        <v>70</v>
      </c>
      <c r="H18" s="367">
        <v>70</v>
      </c>
      <c r="I18" s="534">
        <f t="shared" si="1"/>
        <v>616</v>
      </c>
      <c r="J18" s="459">
        <v>0</v>
      </c>
      <c r="K18" s="459">
        <v>0</v>
      </c>
      <c r="L18" s="459">
        <v>0</v>
      </c>
      <c r="M18" s="471">
        <f t="shared" si="0"/>
        <v>1810</v>
      </c>
      <c r="N18" s="28">
        <v>0</v>
      </c>
      <c r="O18" s="26">
        <v>0</v>
      </c>
      <c r="P18" s="26">
        <v>0</v>
      </c>
      <c r="Q18" s="472"/>
      <c r="S18" t="s">
        <v>442</v>
      </c>
      <c r="T18">
        <v>582.3</v>
      </c>
      <c r="U18">
        <f t="shared" si="2"/>
        <v>174.68999999999997</v>
      </c>
      <c r="V18">
        <v>175</v>
      </c>
    </row>
    <row r="19" spans="1:22" ht="12.75">
      <c r="A19" s="26">
        <v>617</v>
      </c>
      <c r="B19" s="27" t="s">
        <v>54</v>
      </c>
      <c r="C19" s="26">
        <v>1610</v>
      </c>
      <c r="D19" s="186">
        <v>87</v>
      </c>
      <c r="E19" s="186">
        <v>87</v>
      </c>
      <c r="F19" s="367">
        <v>87</v>
      </c>
      <c r="G19" s="367">
        <v>87</v>
      </c>
      <c r="H19" s="367">
        <v>87</v>
      </c>
      <c r="I19" s="534">
        <f t="shared" si="1"/>
        <v>617</v>
      </c>
      <c r="J19" s="459">
        <v>0</v>
      </c>
      <c r="K19" s="459">
        <v>0</v>
      </c>
      <c r="L19" s="459">
        <v>0</v>
      </c>
      <c r="M19" s="471">
        <f t="shared" si="0"/>
        <v>1697</v>
      </c>
      <c r="N19" s="28">
        <v>0</v>
      </c>
      <c r="O19" s="26">
        <v>0</v>
      </c>
      <c r="P19" s="26">
        <v>0</v>
      </c>
      <c r="Q19" s="472"/>
      <c r="S19" t="s">
        <v>443</v>
      </c>
      <c r="T19">
        <v>452.9</v>
      </c>
      <c r="U19">
        <f t="shared" si="2"/>
        <v>135.86999999999998</v>
      </c>
      <c r="V19">
        <v>136</v>
      </c>
    </row>
    <row r="20" spans="1:21" ht="12.75">
      <c r="A20" s="26">
        <v>618</v>
      </c>
      <c r="B20" s="27" t="s">
        <v>55</v>
      </c>
      <c r="C20" s="26">
        <v>1500</v>
      </c>
      <c r="D20" s="186">
        <v>101</v>
      </c>
      <c r="E20" s="186">
        <v>101</v>
      </c>
      <c r="F20" s="367">
        <v>101</v>
      </c>
      <c r="G20" s="367">
        <v>101</v>
      </c>
      <c r="H20" s="367">
        <v>101</v>
      </c>
      <c r="I20" s="534">
        <f t="shared" si="1"/>
        <v>618</v>
      </c>
      <c r="J20" s="459">
        <v>0</v>
      </c>
      <c r="K20" s="459">
        <v>0</v>
      </c>
      <c r="L20" s="459">
        <v>0</v>
      </c>
      <c r="M20" s="471">
        <f t="shared" si="0"/>
        <v>1601</v>
      </c>
      <c r="N20" s="28">
        <v>0</v>
      </c>
      <c r="O20" s="26">
        <v>0</v>
      </c>
      <c r="P20" s="26">
        <v>0</v>
      </c>
      <c r="Q20" s="472"/>
      <c r="S20" t="s">
        <v>444</v>
      </c>
      <c r="U20">
        <f t="shared" si="2"/>
        <v>0</v>
      </c>
    </row>
    <row r="21" spans="1:22" ht="12.75">
      <c r="A21" s="26">
        <v>619</v>
      </c>
      <c r="B21" s="27" t="s">
        <v>56</v>
      </c>
      <c r="C21" s="26">
        <v>1320</v>
      </c>
      <c r="D21" s="186">
        <v>124</v>
      </c>
      <c r="E21" s="186">
        <v>124</v>
      </c>
      <c r="F21" s="367">
        <v>124</v>
      </c>
      <c r="G21" s="367">
        <v>124</v>
      </c>
      <c r="H21" s="367">
        <v>124</v>
      </c>
      <c r="I21" s="534">
        <f t="shared" si="1"/>
        <v>619</v>
      </c>
      <c r="J21" s="459">
        <v>0</v>
      </c>
      <c r="K21" s="459">
        <v>0</v>
      </c>
      <c r="L21" s="459">
        <v>0</v>
      </c>
      <c r="M21" s="471">
        <f t="shared" si="0"/>
        <v>1444</v>
      </c>
      <c r="N21" s="28">
        <v>0</v>
      </c>
      <c r="O21" s="26">
        <v>0</v>
      </c>
      <c r="P21" s="26">
        <v>0</v>
      </c>
      <c r="Q21" s="472"/>
      <c r="S21" t="s">
        <v>445</v>
      </c>
      <c r="T21">
        <v>517.6</v>
      </c>
      <c r="U21">
        <f t="shared" si="2"/>
        <v>155.28</v>
      </c>
      <c r="V21">
        <v>155</v>
      </c>
    </row>
    <row r="22" spans="1:22" ht="12.75">
      <c r="A22" s="26">
        <v>620</v>
      </c>
      <c r="B22" s="27" t="s">
        <v>57</v>
      </c>
      <c r="C22" s="26">
        <v>1550</v>
      </c>
      <c r="D22" s="186">
        <v>94</v>
      </c>
      <c r="E22" s="186">
        <v>94</v>
      </c>
      <c r="F22" s="367">
        <v>94</v>
      </c>
      <c r="G22" s="367">
        <v>94</v>
      </c>
      <c r="H22" s="367">
        <v>94</v>
      </c>
      <c r="I22" s="534">
        <f t="shared" si="1"/>
        <v>620</v>
      </c>
      <c r="J22" s="459">
        <v>0</v>
      </c>
      <c r="K22" s="459">
        <v>0</v>
      </c>
      <c r="L22" s="459">
        <v>0</v>
      </c>
      <c r="M22" s="471">
        <f t="shared" si="0"/>
        <v>1644</v>
      </c>
      <c r="N22" s="28">
        <v>0</v>
      </c>
      <c r="O22" s="26">
        <v>0</v>
      </c>
      <c r="P22" s="26">
        <v>0</v>
      </c>
      <c r="Q22" s="472"/>
      <c r="S22" t="s">
        <v>446</v>
      </c>
      <c r="T22">
        <v>388.2</v>
      </c>
      <c r="U22">
        <f t="shared" si="2"/>
        <v>116.46</v>
      </c>
      <c r="V22">
        <v>116</v>
      </c>
    </row>
    <row r="23" spans="1:22" ht="12.75">
      <c r="A23" s="26">
        <v>621</v>
      </c>
      <c r="B23" s="27" t="s">
        <v>58</v>
      </c>
      <c r="C23" s="26">
        <v>1340</v>
      </c>
      <c r="D23" s="186">
        <v>122</v>
      </c>
      <c r="E23" s="186">
        <v>122</v>
      </c>
      <c r="F23" s="367">
        <v>122</v>
      </c>
      <c r="G23" s="367">
        <v>122</v>
      </c>
      <c r="H23" s="367">
        <v>122</v>
      </c>
      <c r="I23" s="534">
        <f t="shared" si="1"/>
        <v>621</v>
      </c>
      <c r="J23" s="459">
        <v>0</v>
      </c>
      <c r="K23" s="459">
        <v>0</v>
      </c>
      <c r="L23" s="459">
        <v>0</v>
      </c>
      <c r="M23" s="471">
        <f t="shared" si="0"/>
        <v>1462</v>
      </c>
      <c r="N23" s="28">
        <v>0</v>
      </c>
      <c r="O23" s="26">
        <v>0</v>
      </c>
      <c r="P23" s="26">
        <v>0</v>
      </c>
      <c r="Q23" s="472"/>
      <c r="S23" t="s">
        <v>447</v>
      </c>
      <c r="T23">
        <v>388.2</v>
      </c>
      <c r="U23">
        <f t="shared" si="2"/>
        <v>116.46</v>
      </c>
      <c r="V23">
        <v>116</v>
      </c>
    </row>
    <row r="24" spans="1:22" ht="12.75">
      <c r="A24" s="26">
        <v>622</v>
      </c>
      <c r="B24" s="27" t="s">
        <v>59</v>
      </c>
      <c r="C24" s="33">
        <v>971</v>
      </c>
      <c r="D24" s="186">
        <v>170</v>
      </c>
      <c r="E24" s="535">
        <v>216</v>
      </c>
      <c r="F24" s="367">
        <v>261</v>
      </c>
      <c r="G24" s="459">
        <v>327</v>
      </c>
      <c r="H24" s="459">
        <v>350</v>
      </c>
      <c r="I24" s="534">
        <f t="shared" si="1"/>
        <v>622</v>
      </c>
      <c r="J24" s="459">
        <v>0</v>
      </c>
      <c r="K24" s="459">
        <v>0</v>
      </c>
      <c r="L24" s="459">
        <v>0</v>
      </c>
      <c r="M24" s="471">
        <f t="shared" si="0"/>
        <v>1298</v>
      </c>
      <c r="N24" s="28">
        <v>0</v>
      </c>
      <c r="O24" s="26">
        <v>0</v>
      </c>
      <c r="P24" s="26">
        <v>0</v>
      </c>
      <c r="Q24" s="472"/>
      <c r="S24" t="s">
        <v>448</v>
      </c>
      <c r="T24">
        <v>388.2</v>
      </c>
      <c r="U24">
        <f t="shared" si="2"/>
        <v>116.46</v>
      </c>
      <c r="V24">
        <v>116</v>
      </c>
    </row>
    <row r="25" spans="1:22" ht="12.75">
      <c r="A25" s="26">
        <v>623</v>
      </c>
      <c r="B25" s="27" t="s">
        <v>60</v>
      </c>
      <c r="C25" s="26">
        <v>1690</v>
      </c>
      <c r="D25" s="186">
        <v>76</v>
      </c>
      <c r="E25" s="186">
        <v>76</v>
      </c>
      <c r="F25" s="367">
        <v>76</v>
      </c>
      <c r="G25" s="367">
        <v>76</v>
      </c>
      <c r="H25" s="367">
        <v>76</v>
      </c>
      <c r="I25" s="534">
        <f t="shared" si="1"/>
        <v>623</v>
      </c>
      <c r="J25" s="459">
        <v>0</v>
      </c>
      <c r="K25" s="459">
        <v>0</v>
      </c>
      <c r="L25" s="459">
        <v>0</v>
      </c>
      <c r="M25" s="471">
        <f t="shared" si="0"/>
        <v>1766</v>
      </c>
      <c r="N25" s="28">
        <v>0</v>
      </c>
      <c r="O25" s="26">
        <v>0</v>
      </c>
      <c r="P25" s="26">
        <v>0</v>
      </c>
      <c r="Q25" s="472"/>
      <c r="S25" t="s">
        <v>449</v>
      </c>
      <c r="T25">
        <v>388.2</v>
      </c>
      <c r="U25">
        <f t="shared" si="2"/>
        <v>116.46</v>
      </c>
      <c r="V25">
        <v>116</v>
      </c>
    </row>
    <row r="26" spans="1:17" ht="12.75">
      <c r="A26" s="26">
        <v>624</v>
      </c>
      <c r="B26" s="27" t="s">
        <v>61</v>
      </c>
      <c r="C26" s="26">
        <v>1400</v>
      </c>
      <c r="D26" s="186">
        <v>114</v>
      </c>
      <c r="E26" s="186">
        <v>114</v>
      </c>
      <c r="F26" s="367">
        <f>IF(C26&lt;972,E26+44,E26)</f>
        <v>114</v>
      </c>
      <c r="G26" s="367">
        <v>114</v>
      </c>
      <c r="H26" s="367">
        <v>114</v>
      </c>
      <c r="I26" s="534">
        <f t="shared" si="1"/>
        <v>624</v>
      </c>
      <c r="J26" s="459">
        <v>0</v>
      </c>
      <c r="K26" s="459">
        <v>0</v>
      </c>
      <c r="L26" s="459">
        <v>0</v>
      </c>
      <c r="M26" s="471">
        <f t="shared" si="0"/>
        <v>1514</v>
      </c>
      <c r="N26" s="28">
        <v>0</v>
      </c>
      <c r="O26" s="26">
        <v>0</v>
      </c>
      <c r="P26" s="26">
        <v>0</v>
      </c>
      <c r="Q26" s="472"/>
    </row>
    <row r="27" spans="1:17" ht="12.75">
      <c r="A27" s="26">
        <v>625</v>
      </c>
      <c r="B27" s="27" t="s">
        <v>62</v>
      </c>
      <c r="C27" s="26">
        <v>1370</v>
      </c>
      <c r="D27" s="186">
        <v>118</v>
      </c>
      <c r="E27" s="186">
        <v>118</v>
      </c>
      <c r="F27" s="367">
        <f>IF(C27&lt;972,E27+44,E27)</f>
        <v>118</v>
      </c>
      <c r="G27" s="367">
        <v>118</v>
      </c>
      <c r="H27" s="367">
        <v>118</v>
      </c>
      <c r="I27" s="534">
        <f t="shared" si="1"/>
        <v>625</v>
      </c>
      <c r="J27" s="459">
        <v>388.2</v>
      </c>
      <c r="K27" s="459">
        <v>388.2</v>
      </c>
      <c r="L27" s="459">
        <v>388.2</v>
      </c>
      <c r="M27" s="471">
        <f t="shared" si="0"/>
        <v>1876.2</v>
      </c>
      <c r="N27" s="28">
        <v>0</v>
      </c>
      <c r="O27" s="26">
        <v>0</v>
      </c>
      <c r="P27" s="26">
        <v>0</v>
      </c>
      <c r="Q27" s="472"/>
    </row>
    <row r="28" spans="1:17" ht="12.75">
      <c r="A28" s="26">
        <v>626</v>
      </c>
      <c r="B28" s="27" t="s">
        <v>63</v>
      </c>
      <c r="C28" s="26">
        <v>1340</v>
      </c>
      <c r="D28" s="186">
        <v>122</v>
      </c>
      <c r="E28" s="186">
        <v>122</v>
      </c>
      <c r="F28" s="367">
        <f>IF(C28&lt;972,E28+44,E28)</f>
        <v>122</v>
      </c>
      <c r="G28" s="367">
        <v>122</v>
      </c>
      <c r="H28" s="367">
        <v>122</v>
      </c>
      <c r="I28" s="534">
        <f t="shared" si="1"/>
        <v>626</v>
      </c>
      <c r="J28" s="459">
        <v>388.2</v>
      </c>
      <c r="K28" s="459">
        <v>388.2</v>
      </c>
      <c r="L28" s="459">
        <v>388.2</v>
      </c>
      <c r="M28" s="471">
        <f t="shared" si="0"/>
        <v>1850.2</v>
      </c>
      <c r="N28" s="28">
        <v>0</v>
      </c>
      <c r="O28" s="26">
        <v>0</v>
      </c>
      <c r="P28" s="26">
        <v>0</v>
      </c>
      <c r="Q28" s="472"/>
    </row>
    <row r="29" spans="1:17" ht="12.75">
      <c r="A29" s="26">
        <v>627</v>
      </c>
      <c r="B29" s="27" t="s">
        <v>64</v>
      </c>
      <c r="C29" s="26">
        <v>1300</v>
      </c>
      <c r="D29" s="186">
        <v>127</v>
      </c>
      <c r="E29" s="186">
        <v>127</v>
      </c>
      <c r="F29" s="367">
        <f>IF(C29&lt;972,E29+44,E29)</f>
        <v>127</v>
      </c>
      <c r="G29" s="367">
        <v>127</v>
      </c>
      <c r="H29" s="367">
        <v>127</v>
      </c>
      <c r="I29" s="534">
        <f t="shared" si="1"/>
        <v>627</v>
      </c>
      <c r="J29" s="459">
        <v>388.2</v>
      </c>
      <c r="K29" s="459">
        <v>388.2</v>
      </c>
      <c r="L29" s="459">
        <v>388.2</v>
      </c>
      <c r="M29" s="471">
        <f t="shared" si="0"/>
        <v>1815.2</v>
      </c>
      <c r="N29" s="28">
        <v>0</v>
      </c>
      <c r="O29" s="26">
        <v>0</v>
      </c>
      <c r="P29" s="26">
        <v>0</v>
      </c>
      <c r="Q29" s="472"/>
    </row>
    <row r="30" spans="1:17" ht="12.75">
      <c r="A30" s="26">
        <v>628</v>
      </c>
      <c r="B30" s="27" t="s">
        <v>65</v>
      </c>
      <c r="C30" s="26">
        <v>980</v>
      </c>
      <c r="D30" s="186">
        <v>169</v>
      </c>
      <c r="E30" s="186">
        <v>169</v>
      </c>
      <c r="F30" s="367">
        <f>IF(C30&lt;972,E30+44,E30)</f>
        <v>169</v>
      </c>
      <c r="G30" s="367">
        <v>169</v>
      </c>
      <c r="H30" s="367">
        <v>169</v>
      </c>
      <c r="I30" s="534">
        <f t="shared" si="1"/>
        <v>628</v>
      </c>
      <c r="J30" s="459">
        <v>0</v>
      </c>
      <c r="K30" s="459">
        <v>0</v>
      </c>
      <c r="L30" s="459">
        <v>0</v>
      </c>
      <c r="M30" s="471">
        <f t="shared" si="0"/>
        <v>1149</v>
      </c>
      <c r="N30" s="28">
        <v>0</v>
      </c>
      <c r="O30" s="26">
        <v>0</v>
      </c>
      <c r="P30" s="26">
        <v>0</v>
      </c>
      <c r="Q30" s="472"/>
    </row>
    <row r="31" spans="1:17" ht="12.75">
      <c r="A31" s="26">
        <v>629</v>
      </c>
      <c r="B31" s="27" t="s">
        <v>66</v>
      </c>
      <c r="C31" s="26">
        <v>941</v>
      </c>
      <c r="D31" s="186">
        <v>170</v>
      </c>
      <c r="E31" s="535">
        <v>216</v>
      </c>
      <c r="F31" s="367">
        <v>261</v>
      </c>
      <c r="G31" s="459">
        <v>327</v>
      </c>
      <c r="H31" s="459">
        <v>350</v>
      </c>
      <c r="I31" s="534">
        <f t="shared" si="1"/>
        <v>629</v>
      </c>
      <c r="J31" s="459">
        <v>0</v>
      </c>
      <c r="K31" s="459">
        <v>0</v>
      </c>
      <c r="L31" s="459">
        <v>0</v>
      </c>
      <c r="M31" s="471">
        <f t="shared" si="0"/>
        <v>1268</v>
      </c>
      <c r="N31" s="28">
        <v>0</v>
      </c>
      <c r="O31" s="26">
        <v>0</v>
      </c>
      <c r="P31" s="26">
        <v>0</v>
      </c>
      <c r="Q31" s="472"/>
    </row>
    <row r="32" spans="1:17" ht="12.75">
      <c r="A32" s="26">
        <v>630</v>
      </c>
      <c r="B32" s="27" t="s">
        <v>67</v>
      </c>
      <c r="C32" s="26">
        <v>1170</v>
      </c>
      <c r="D32" s="186">
        <v>144</v>
      </c>
      <c r="E32" s="186">
        <v>144</v>
      </c>
      <c r="F32" s="367">
        <f>IF(C32&lt;972,E32+44,E32)</f>
        <v>144</v>
      </c>
      <c r="G32" s="367">
        <v>144</v>
      </c>
      <c r="H32" s="367">
        <v>144</v>
      </c>
      <c r="I32" s="534">
        <f t="shared" si="1"/>
        <v>630</v>
      </c>
      <c r="J32" s="459">
        <v>0</v>
      </c>
      <c r="K32" s="459">
        <v>0</v>
      </c>
      <c r="L32" s="459">
        <v>0</v>
      </c>
      <c r="M32" s="471">
        <f t="shared" si="0"/>
        <v>1314</v>
      </c>
      <c r="N32" s="28">
        <v>0</v>
      </c>
      <c r="O32" s="26">
        <v>0</v>
      </c>
      <c r="P32" s="26">
        <v>0</v>
      </c>
      <c r="Q32" s="472"/>
    </row>
    <row r="33" spans="1:17" ht="12.75">
      <c r="A33" s="26">
        <v>631</v>
      </c>
      <c r="B33" s="27" t="s">
        <v>68</v>
      </c>
      <c r="C33" s="26">
        <v>1170</v>
      </c>
      <c r="D33" s="186">
        <v>144</v>
      </c>
      <c r="E33" s="186">
        <v>144</v>
      </c>
      <c r="F33" s="367">
        <f>IF(C33&lt;972,E33+44,E33)</f>
        <v>144</v>
      </c>
      <c r="G33" s="367">
        <v>144</v>
      </c>
      <c r="H33" s="367">
        <v>144</v>
      </c>
      <c r="I33" s="534">
        <f t="shared" si="1"/>
        <v>631</v>
      </c>
      <c r="J33" s="459">
        <v>0</v>
      </c>
      <c r="K33" s="459">
        <v>0</v>
      </c>
      <c r="L33" s="459">
        <v>0</v>
      </c>
      <c r="M33" s="471">
        <f t="shared" si="0"/>
        <v>1314</v>
      </c>
      <c r="N33" s="28">
        <v>0</v>
      </c>
      <c r="O33" s="26">
        <v>0</v>
      </c>
      <c r="P33" s="26">
        <v>0</v>
      </c>
      <c r="Q33" s="472"/>
    </row>
    <row r="34" spans="1:17" ht="12.75">
      <c r="A34" s="26">
        <v>632</v>
      </c>
      <c r="B34" s="27" t="s">
        <v>69</v>
      </c>
      <c r="C34" s="26">
        <v>941</v>
      </c>
      <c r="D34" s="186">
        <v>170</v>
      </c>
      <c r="E34" s="535">
        <v>216</v>
      </c>
      <c r="F34" s="367">
        <v>261</v>
      </c>
      <c r="G34" s="459">
        <v>327</v>
      </c>
      <c r="H34" s="459">
        <v>350</v>
      </c>
      <c r="I34" s="534">
        <f t="shared" si="1"/>
        <v>632</v>
      </c>
      <c r="J34" s="459">
        <v>0</v>
      </c>
      <c r="K34" s="459">
        <v>0</v>
      </c>
      <c r="L34" s="459">
        <v>0</v>
      </c>
      <c r="M34" s="471">
        <f t="shared" si="0"/>
        <v>1268</v>
      </c>
      <c r="N34" s="28">
        <v>0</v>
      </c>
      <c r="O34" s="26">
        <v>0</v>
      </c>
      <c r="P34" s="26">
        <v>0</v>
      </c>
      <c r="Q34" s="472"/>
    </row>
    <row r="35" spans="1:17" ht="12.75">
      <c r="A35" s="26">
        <v>633</v>
      </c>
      <c r="B35" s="27" t="s">
        <v>70</v>
      </c>
      <c r="C35" s="26">
        <v>941</v>
      </c>
      <c r="D35" s="186">
        <v>170</v>
      </c>
      <c r="E35" s="535">
        <v>216</v>
      </c>
      <c r="F35" s="367">
        <v>261</v>
      </c>
      <c r="G35" s="459">
        <v>327</v>
      </c>
      <c r="H35" s="459">
        <v>350</v>
      </c>
      <c r="I35" s="534">
        <f t="shared" si="1"/>
        <v>633</v>
      </c>
      <c r="J35" s="459">
        <v>0</v>
      </c>
      <c r="K35" s="459">
        <v>0</v>
      </c>
      <c r="L35" s="459">
        <v>0</v>
      </c>
      <c r="M35" s="471">
        <f t="shared" si="0"/>
        <v>1268</v>
      </c>
      <c r="N35" s="28">
        <v>0</v>
      </c>
      <c r="O35" s="26">
        <v>0</v>
      </c>
      <c r="P35" s="26">
        <v>0</v>
      </c>
      <c r="Q35" s="472"/>
    </row>
    <row r="36" spans="1:17" ht="12.75">
      <c r="A36" s="26">
        <v>634</v>
      </c>
      <c r="B36" s="27" t="s">
        <v>71</v>
      </c>
      <c r="C36" s="26">
        <v>971</v>
      </c>
      <c r="D36" s="186">
        <v>170</v>
      </c>
      <c r="E36" s="535">
        <v>216</v>
      </c>
      <c r="F36" s="367">
        <v>261</v>
      </c>
      <c r="G36" s="459">
        <v>327</v>
      </c>
      <c r="H36" s="459">
        <v>350</v>
      </c>
      <c r="I36" s="534">
        <f t="shared" si="1"/>
        <v>634</v>
      </c>
      <c r="J36" s="459">
        <v>0</v>
      </c>
      <c r="K36" s="459">
        <v>0</v>
      </c>
      <c r="L36" s="459">
        <v>0</v>
      </c>
      <c r="M36" s="471">
        <f t="shared" si="0"/>
        <v>1298</v>
      </c>
      <c r="N36" s="28">
        <v>0</v>
      </c>
      <c r="O36" s="26">
        <v>0</v>
      </c>
      <c r="P36" s="26">
        <v>0</v>
      </c>
      <c r="Q36" s="472"/>
    </row>
    <row r="37" spans="1:17" ht="12.75">
      <c r="A37" s="26">
        <v>635</v>
      </c>
      <c r="B37" s="27" t="s">
        <v>380</v>
      </c>
      <c r="C37" s="26">
        <v>1610</v>
      </c>
      <c r="D37" s="186">
        <v>87</v>
      </c>
      <c r="E37" s="186">
        <v>87</v>
      </c>
      <c r="F37" s="367">
        <f>IF(C37&lt;972,E37+44,E37)</f>
        <v>87</v>
      </c>
      <c r="G37" s="367">
        <v>87</v>
      </c>
      <c r="H37" s="367">
        <v>87</v>
      </c>
      <c r="I37" s="534">
        <f t="shared" si="1"/>
        <v>635</v>
      </c>
      <c r="J37" s="459">
        <v>388.2</v>
      </c>
      <c r="K37" s="459">
        <v>388.2</v>
      </c>
      <c r="L37" s="459">
        <v>388.2</v>
      </c>
      <c r="M37" s="471">
        <f t="shared" si="0"/>
        <v>2085.2</v>
      </c>
      <c r="N37" s="28">
        <v>0</v>
      </c>
      <c r="O37" s="26">
        <v>0</v>
      </c>
      <c r="P37" s="26">
        <v>0</v>
      </c>
      <c r="Q37" s="472"/>
    </row>
    <row r="38" spans="1:17" ht="12.75">
      <c r="A38" s="26">
        <v>636</v>
      </c>
      <c r="B38" s="27" t="s">
        <v>72</v>
      </c>
      <c r="C38" s="26">
        <v>971</v>
      </c>
      <c r="D38" s="186">
        <v>170</v>
      </c>
      <c r="E38" s="535">
        <v>216</v>
      </c>
      <c r="F38" s="367">
        <v>261</v>
      </c>
      <c r="G38" s="459">
        <v>327</v>
      </c>
      <c r="H38" s="459">
        <v>350</v>
      </c>
      <c r="I38" s="534">
        <f t="shared" si="1"/>
        <v>636</v>
      </c>
      <c r="J38" s="459">
        <v>0</v>
      </c>
      <c r="K38" s="459">
        <v>0</v>
      </c>
      <c r="L38" s="459">
        <v>0</v>
      </c>
      <c r="M38" s="471">
        <f t="shared" si="0"/>
        <v>1298</v>
      </c>
      <c r="N38" s="28">
        <v>0</v>
      </c>
      <c r="O38" s="26">
        <v>0</v>
      </c>
      <c r="P38" s="26">
        <v>0</v>
      </c>
      <c r="Q38" s="472"/>
    </row>
    <row r="39" spans="1:17" ht="12.75">
      <c r="A39" s="26">
        <v>637</v>
      </c>
      <c r="B39" s="27" t="s">
        <v>73</v>
      </c>
      <c r="C39" s="26">
        <v>971</v>
      </c>
      <c r="D39" s="186">
        <v>170</v>
      </c>
      <c r="E39" s="535">
        <v>216</v>
      </c>
      <c r="F39" s="367">
        <v>261</v>
      </c>
      <c r="G39" s="459">
        <v>327</v>
      </c>
      <c r="H39" s="459">
        <v>350</v>
      </c>
      <c r="I39" s="534">
        <f t="shared" si="1"/>
        <v>637</v>
      </c>
      <c r="J39" s="459">
        <v>0</v>
      </c>
      <c r="K39" s="459">
        <v>0</v>
      </c>
      <c r="L39" s="459">
        <v>0</v>
      </c>
      <c r="M39" s="471">
        <f t="shared" si="0"/>
        <v>1298</v>
      </c>
      <c r="N39" s="28">
        <v>0</v>
      </c>
      <c r="O39" s="26">
        <v>0</v>
      </c>
      <c r="P39" s="26">
        <v>0</v>
      </c>
      <c r="Q39" s="472"/>
    </row>
    <row r="40" spans="1:17" ht="12.75">
      <c r="A40" s="26">
        <v>638</v>
      </c>
      <c r="B40" s="27" t="s">
        <v>74</v>
      </c>
      <c r="C40" s="26">
        <v>906</v>
      </c>
      <c r="D40" s="186">
        <v>170</v>
      </c>
      <c r="E40" s="535">
        <v>216</v>
      </c>
      <c r="F40" s="367">
        <v>261</v>
      </c>
      <c r="G40" s="459">
        <v>327</v>
      </c>
      <c r="H40" s="459">
        <v>350</v>
      </c>
      <c r="I40" s="534">
        <f t="shared" si="1"/>
        <v>638</v>
      </c>
      <c r="J40" s="459">
        <v>0</v>
      </c>
      <c r="K40" s="459">
        <v>0</v>
      </c>
      <c r="L40" s="459">
        <v>0</v>
      </c>
      <c r="M40" s="471">
        <f t="shared" si="0"/>
        <v>1233</v>
      </c>
      <c r="N40" s="28">
        <v>0</v>
      </c>
      <c r="O40" s="26">
        <v>0</v>
      </c>
      <c r="P40" s="26">
        <v>0</v>
      </c>
      <c r="Q40" s="472"/>
    </row>
    <row r="41" spans="1:17" ht="12.75">
      <c r="A41" s="26">
        <v>639</v>
      </c>
      <c r="B41" s="27" t="s">
        <v>75</v>
      </c>
      <c r="C41" s="26">
        <v>1300</v>
      </c>
      <c r="D41" s="186">
        <v>127</v>
      </c>
      <c r="E41" s="186">
        <v>127</v>
      </c>
      <c r="F41" s="367">
        <f aca="true" t="shared" si="3" ref="F41:F47">IF(C41&lt;972,E41+44,E41)</f>
        <v>127</v>
      </c>
      <c r="G41" s="367">
        <v>127</v>
      </c>
      <c r="H41" s="367">
        <v>127</v>
      </c>
      <c r="I41" s="534">
        <f t="shared" si="1"/>
        <v>639</v>
      </c>
      <c r="J41" s="459">
        <v>0</v>
      </c>
      <c r="K41" s="459">
        <v>0</v>
      </c>
      <c r="L41" s="459">
        <v>0</v>
      </c>
      <c r="M41" s="471">
        <f t="shared" si="0"/>
        <v>1427</v>
      </c>
      <c r="N41" s="28">
        <v>0</v>
      </c>
      <c r="O41" s="26">
        <v>0</v>
      </c>
      <c r="P41" s="26">
        <v>0</v>
      </c>
      <c r="Q41" s="472"/>
    </row>
    <row r="42" spans="1:17" ht="12.75">
      <c r="A42" s="26">
        <v>640</v>
      </c>
      <c r="B42" s="27" t="s">
        <v>76</v>
      </c>
      <c r="C42" s="26">
        <v>2830</v>
      </c>
      <c r="D42" s="186">
        <v>0</v>
      </c>
      <c r="E42" s="186">
        <v>0</v>
      </c>
      <c r="F42" s="367">
        <f t="shared" si="3"/>
        <v>0</v>
      </c>
      <c r="G42" s="367">
        <v>0</v>
      </c>
      <c r="H42" s="367">
        <v>0</v>
      </c>
      <c r="I42" s="534">
        <f t="shared" si="1"/>
        <v>640</v>
      </c>
      <c r="J42" s="459">
        <v>0</v>
      </c>
      <c r="K42" s="459">
        <v>0</v>
      </c>
      <c r="L42" s="459">
        <v>0</v>
      </c>
      <c r="M42" s="471">
        <f t="shared" si="0"/>
        <v>2830</v>
      </c>
      <c r="N42" s="28">
        <v>0</v>
      </c>
      <c r="O42" s="26">
        <v>0</v>
      </c>
      <c r="P42" s="26">
        <v>0</v>
      </c>
      <c r="Q42" s="472"/>
    </row>
    <row r="43" spans="1:17" ht="12.75">
      <c r="A43" s="26">
        <v>641</v>
      </c>
      <c r="B43" s="27" t="s">
        <v>77</v>
      </c>
      <c r="C43" s="26">
        <v>1550</v>
      </c>
      <c r="D43" s="186">
        <v>94</v>
      </c>
      <c r="E43" s="186">
        <v>94</v>
      </c>
      <c r="F43" s="367">
        <f t="shared" si="3"/>
        <v>94</v>
      </c>
      <c r="G43" s="367">
        <v>94</v>
      </c>
      <c r="H43" s="367">
        <v>94</v>
      </c>
      <c r="I43" s="534">
        <f t="shared" si="1"/>
        <v>641</v>
      </c>
      <c r="J43" s="459">
        <v>0</v>
      </c>
      <c r="K43" s="459">
        <v>0</v>
      </c>
      <c r="L43" s="459">
        <v>0</v>
      </c>
      <c r="M43" s="471">
        <f t="shared" si="0"/>
        <v>1644</v>
      </c>
      <c r="N43" s="28">
        <v>0</v>
      </c>
      <c r="O43" s="26">
        <v>0</v>
      </c>
      <c r="P43" s="26">
        <v>0</v>
      </c>
      <c r="Q43" s="472"/>
    </row>
    <row r="44" spans="1:17" ht="12.75">
      <c r="A44" s="26">
        <v>642</v>
      </c>
      <c r="B44" s="27" t="s">
        <v>78</v>
      </c>
      <c r="C44" s="26">
        <v>1170</v>
      </c>
      <c r="D44" s="186">
        <v>144</v>
      </c>
      <c r="E44" s="186">
        <v>144</v>
      </c>
      <c r="F44" s="367">
        <f t="shared" si="3"/>
        <v>144</v>
      </c>
      <c r="G44" s="367">
        <v>144</v>
      </c>
      <c r="H44" s="367">
        <v>144</v>
      </c>
      <c r="I44" s="534">
        <f t="shared" si="1"/>
        <v>642</v>
      </c>
      <c r="J44" s="459">
        <v>0</v>
      </c>
      <c r="K44" s="459">
        <v>0</v>
      </c>
      <c r="L44" s="459">
        <v>0</v>
      </c>
      <c r="M44" s="471">
        <f t="shared" si="0"/>
        <v>1314</v>
      </c>
      <c r="N44" s="28">
        <v>0</v>
      </c>
      <c r="O44" s="26">
        <v>0</v>
      </c>
      <c r="P44" s="26">
        <v>0</v>
      </c>
      <c r="Q44" s="472"/>
    </row>
    <row r="45" spans="1:17" ht="12.75">
      <c r="A45" s="26">
        <v>643</v>
      </c>
      <c r="B45" s="27" t="s">
        <v>79</v>
      </c>
      <c r="C45" s="26">
        <v>1500</v>
      </c>
      <c r="D45" s="186">
        <v>101</v>
      </c>
      <c r="E45" s="186">
        <v>101</v>
      </c>
      <c r="F45" s="367">
        <f t="shared" si="3"/>
        <v>101</v>
      </c>
      <c r="G45" s="367">
        <v>101</v>
      </c>
      <c r="H45" s="367">
        <v>101</v>
      </c>
      <c r="I45" s="534">
        <f t="shared" si="1"/>
        <v>643</v>
      </c>
      <c r="J45" s="459">
        <v>388.2</v>
      </c>
      <c r="K45" s="459">
        <v>388.2</v>
      </c>
      <c r="L45" s="459">
        <v>388.2</v>
      </c>
      <c r="M45" s="471">
        <f t="shared" si="0"/>
        <v>1989.2</v>
      </c>
      <c r="N45" s="28">
        <v>0</v>
      </c>
      <c r="O45" s="26">
        <v>0</v>
      </c>
      <c r="P45" s="26">
        <v>0</v>
      </c>
      <c r="Q45" s="472"/>
    </row>
    <row r="46" spans="1:17" ht="12.75">
      <c r="A46" s="26">
        <v>644</v>
      </c>
      <c r="B46" s="27" t="s">
        <v>80</v>
      </c>
      <c r="C46" s="26">
        <v>2490</v>
      </c>
      <c r="D46" s="186">
        <v>0</v>
      </c>
      <c r="E46" s="186">
        <v>0</v>
      </c>
      <c r="F46" s="367">
        <f t="shared" si="3"/>
        <v>0</v>
      </c>
      <c r="G46" s="367">
        <v>0</v>
      </c>
      <c r="H46" s="367">
        <v>0</v>
      </c>
      <c r="I46" s="534">
        <f t="shared" si="1"/>
        <v>644</v>
      </c>
      <c r="J46" s="459">
        <v>0</v>
      </c>
      <c r="K46" s="459">
        <v>0</v>
      </c>
      <c r="L46" s="459">
        <v>0</v>
      </c>
      <c r="M46" s="471">
        <f t="shared" si="0"/>
        <v>2490</v>
      </c>
      <c r="N46" s="28">
        <v>0</v>
      </c>
      <c r="O46" s="26">
        <v>0</v>
      </c>
      <c r="P46" s="26">
        <v>0</v>
      </c>
      <c r="Q46" s="472"/>
    </row>
    <row r="47" spans="1:17" ht="12.75">
      <c r="A47" s="26">
        <v>645</v>
      </c>
      <c r="B47" s="27" t="s">
        <v>81</v>
      </c>
      <c r="C47" s="26">
        <v>2329</v>
      </c>
      <c r="D47" s="186">
        <v>0</v>
      </c>
      <c r="E47" s="186">
        <v>0</v>
      </c>
      <c r="F47" s="367">
        <f t="shared" si="3"/>
        <v>0</v>
      </c>
      <c r="G47" s="367">
        <v>0</v>
      </c>
      <c r="H47" s="367">
        <v>0</v>
      </c>
      <c r="I47" s="534">
        <f t="shared" si="1"/>
        <v>645</v>
      </c>
      <c r="J47" s="459">
        <v>0</v>
      </c>
      <c r="K47" s="459">
        <v>0</v>
      </c>
      <c r="L47" s="459">
        <v>0</v>
      </c>
      <c r="M47" s="471">
        <f t="shared" si="0"/>
        <v>2329</v>
      </c>
      <c r="N47" s="28">
        <v>0</v>
      </c>
      <c r="O47" s="26">
        <v>0</v>
      </c>
      <c r="P47" s="26">
        <v>0</v>
      </c>
      <c r="Q47" s="472"/>
    </row>
    <row r="48" spans="1:17" ht="12.75">
      <c r="A48" s="26">
        <v>646</v>
      </c>
      <c r="B48" s="27" t="s">
        <v>82</v>
      </c>
      <c r="C48" s="26">
        <v>906</v>
      </c>
      <c r="D48" s="186">
        <v>170</v>
      </c>
      <c r="E48" s="535">
        <v>216</v>
      </c>
      <c r="F48" s="367">
        <v>261</v>
      </c>
      <c r="G48" s="459">
        <v>327</v>
      </c>
      <c r="H48" s="459">
        <v>350</v>
      </c>
      <c r="I48" s="534">
        <f t="shared" si="1"/>
        <v>646</v>
      </c>
      <c r="J48" s="459">
        <v>0</v>
      </c>
      <c r="K48" s="459">
        <v>0</v>
      </c>
      <c r="L48" s="459">
        <v>0</v>
      </c>
      <c r="M48" s="471">
        <f t="shared" si="0"/>
        <v>1233</v>
      </c>
      <c r="N48" s="28">
        <v>0</v>
      </c>
      <c r="O48" s="26">
        <v>0</v>
      </c>
      <c r="P48" s="26">
        <v>0</v>
      </c>
      <c r="Q48" s="472"/>
    </row>
    <row r="49" spans="1:17" ht="12.75">
      <c r="A49" s="26">
        <v>647</v>
      </c>
      <c r="B49" s="27" t="s">
        <v>83</v>
      </c>
      <c r="C49" s="26">
        <v>1830</v>
      </c>
      <c r="D49" s="186">
        <v>58</v>
      </c>
      <c r="E49" s="186">
        <v>58</v>
      </c>
      <c r="F49" s="367">
        <f>IF(C49&lt;972,E49+44,E49)</f>
        <v>58</v>
      </c>
      <c r="G49" s="367">
        <v>58</v>
      </c>
      <c r="H49" s="367">
        <v>58</v>
      </c>
      <c r="I49" s="534">
        <f t="shared" si="1"/>
        <v>647</v>
      </c>
      <c r="J49" s="459">
        <v>0</v>
      </c>
      <c r="K49" s="459">
        <v>0</v>
      </c>
      <c r="L49" s="459">
        <v>0</v>
      </c>
      <c r="M49" s="471">
        <f t="shared" si="0"/>
        <v>1888</v>
      </c>
      <c r="N49" s="28">
        <v>0</v>
      </c>
      <c r="O49" s="26">
        <v>0</v>
      </c>
      <c r="P49" s="26">
        <v>0</v>
      </c>
      <c r="Q49" s="472"/>
    </row>
    <row r="50" spans="1:17" ht="12.75">
      <c r="A50" s="26">
        <v>648</v>
      </c>
      <c r="B50" s="27" t="s">
        <v>84</v>
      </c>
      <c r="C50" s="26">
        <v>1740</v>
      </c>
      <c r="D50" s="186">
        <v>70</v>
      </c>
      <c r="E50" s="186">
        <v>70</v>
      </c>
      <c r="F50" s="367">
        <f>IF(C50&lt;972,E50+44,E50)</f>
        <v>70</v>
      </c>
      <c r="G50" s="367">
        <v>70</v>
      </c>
      <c r="H50" s="367">
        <v>70</v>
      </c>
      <c r="I50" s="534">
        <f t="shared" si="1"/>
        <v>648</v>
      </c>
      <c r="J50" s="459">
        <v>517.6</v>
      </c>
      <c r="K50" s="459">
        <v>517.6</v>
      </c>
      <c r="L50" s="459">
        <v>517.6</v>
      </c>
      <c r="M50" s="471">
        <f t="shared" si="0"/>
        <v>2327.6</v>
      </c>
      <c r="N50" s="28">
        <v>0</v>
      </c>
      <c r="O50" s="26">
        <v>0</v>
      </c>
      <c r="P50" s="26">
        <v>0</v>
      </c>
      <c r="Q50" s="472"/>
    </row>
    <row r="51" spans="1:17" ht="12.75">
      <c r="A51" s="26">
        <v>649</v>
      </c>
      <c r="B51" s="27" t="s">
        <v>85</v>
      </c>
      <c r="C51" s="26">
        <v>971</v>
      </c>
      <c r="D51" s="186">
        <v>170</v>
      </c>
      <c r="E51" s="535">
        <v>216</v>
      </c>
      <c r="F51" s="367">
        <v>261</v>
      </c>
      <c r="G51" s="459">
        <v>327</v>
      </c>
      <c r="H51" s="459">
        <v>350</v>
      </c>
      <c r="I51" s="534">
        <f t="shared" si="1"/>
        <v>649</v>
      </c>
      <c r="J51" s="459">
        <v>0</v>
      </c>
      <c r="K51" s="459">
        <v>0</v>
      </c>
      <c r="L51" s="459">
        <v>0</v>
      </c>
      <c r="M51" s="471">
        <f t="shared" si="0"/>
        <v>1298</v>
      </c>
      <c r="N51" s="28">
        <v>0</v>
      </c>
      <c r="O51" s="26">
        <v>0</v>
      </c>
      <c r="P51" s="26">
        <v>0</v>
      </c>
      <c r="Q51" s="472"/>
    </row>
    <row r="52" spans="1:17" ht="12.75">
      <c r="A52" s="26">
        <v>650</v>
      </c>
      <c r="B52" s="27" t="s">
        <v>86</v>
      </c>
      <c r="C52" s="26">
        <v>1740</v>
      </c>
      <c r="D52" s="186">
        <v>70</v>
      </c>
      <c r="E52" s="186">
        <v>70</v>
      </c>
      <c r="F52" s="367">
        <f>IF(C52&lt;972,E52+44,E52)</f>
        <v>70</v>
      </c>
      <c r="G52" s="367">
        <v>70</v>
      </c>
      <c r="H52" s="367">
        <v>70</v>
      </c>
      <c r="I52" s="534">
        <f t="shared" si="1"/>
        <v>650</v>
      </c>
      <c r="J52" s="459">
        <v>0</v>
      </c>
      <c r="K52" s="459">
        <v>0</v>
      </c>
      <c r="L52" s="459">
        <v>0</v>
      </c>
      <c r="M52" s="471">
        <f t="shared" si="0"/>
        <v>1810</v>
      </c>
      <c r="N52" s="28">
        <v>0</v>
      </c>
      <c r="O52" s="26">
        <v>750</v>
      </c>
      <c r="P52" s="26">
        <v>0</v>
      </c>
      <c r="Q52" s="472"/>
    </row>
    <row r="53" spans="1:17" ht="12.75">
      <c r="A53" s="26">
        <v>651</v>
      </c>
      <c r="B53" s="27" t="s">
        <v>87</v>
      </c>
      <c r="C53" s="26">
        <v>971</v>
      </c>
      <c r="D53" s="186">
        <v>170</v>
      </c>
      <c r="E53" s="535">
        <v>216</v>
      </c>
      <c r="F53" s="367">
        <v>261</v>
      </c>
      <c r="G53" s="459">
        <v>327</v>
      </c>
      <c r="H53" s="459">
        <v>350</v>
      </c>
      <c r="I53" s="534">
        <f t="shared" si="1"/>
        <v>651</v>
      </c>
      <c r="J53" s="459">
        <v>0</v>
      </c>
      <c r="K53" s="459">
        <v>0</v>
      </c>
      <c r="L53" s="459">
        <v>0</v>
      </c>
      <c r="M53" s="471">
        <f t="shared" si="0"/>
        <v>1298</v>
      </c>
      <c r="N53" s="28">
        <v>0</v>
      </c>
      <c r="O53" s="26">
        <v>0</v>
      </c>
      <c r="P53" s="26">
        <v>0</v>
      </c>
      <c r="Q53" s="472"/>
    </row>
    <row r="54" spans="1:17" ht="12.75">
      <c r="A54" s="26">
        <v>652</v>
      </c>
      <c r="B54" s="27" t="s">
        <v>88</v>
      </c>
      <c r="C54" s="26">
        <v>1250</v>
      </c>
      <c r="D54" s="186">
        <v>134</v>
      </c>
      <c r="E54" s="186">
        <v>134</v>
      </c>
      <c r="F54" s="367">
        <f aca="true" t="shared" si="4" ref="F54:F64">IF(C54&lt;972,E54+44,E54)</f>
        <v>134</v>
      </c>
      <c r="G54" s="367">
        <v>134</v>
      </c>
      <c r="H54" s="367">
        <v>134</v>
      </c>
      <c r="I54" s="534">
        <f t="shared" si="1"/>
        <v>652</v>
      </c>
      <c r="J54" s="459">
        <v>0</v>
      </c>
      <c r="K54" s="459">
        <v>0</v>
      </c>
      <c r="L54" s="459">
        <v>0</v>
      </c>
      <c r="M54" s="471">
        <f t="shared" si="0"/>
        <v>1384</v>
      </c>
      <c r="N54" s="28">
        <v>0</v>
      </c>
      <c r="O54" s="26">
        <v>0</v>
      </c>
      <c r="P54" s="26">
        <v>0</v>
      </c>
      <c r="Q54" s="472"/>
    </row>
    <row r="55" spans="1:17" ht="12.75">
      <c r="A55" s="26">
        <v>653</v>
      </c>
      <c r="B55" s="27" t="s">
        <v>89</v>
      </c>
      <c r="C55" s="26">
        <v>1400</v>
      </c>
      <c r="D55" s="186">
        <v>114</v>
      </c>
      <c r="E55" s="186">
        <v>114</v>
      </c>
      <c r="F55" s="367">
        <f t="shared" si="4"/>
        <v>114</v>
      </c>
      <c r="G55" s="367">
        <v>114</v>
      </c>
      <c r="H55" s="367">
        <v>114</v>
      </c>
      <c r="I55" s="534">
        <f t="shared" si="1"/>
        <v>653</v>
      </c>
      <c r="J55" s="459">
        <v>0</v>
      </c>
      <c r="K55" s="459">
        <v>0</v>
      </c>
      <c r="L55" s="459">
        <v>388</v>
      </c>
      <c r="M55" s="471">
        <f t="shared" si="0"/>
        <v>1902</v>
      </c>
      <c r="N55" s="28">
        <v>0</v>
      </c>
      <c r="O55" s="26">
        <v>100</v>
      </c>
      <c r="P55" s="26">
        <v>0</v>
      </c>
      <c r="Q55" s="472"/>
    </row>
    <row r="56" spans="1:17" ht="12.75">
      <c r="A56" s="26">
        <v>654</v>
      </c>
      <c r="B56" s="27" t="s">
        <v>90</v>
      </c>
      <c r="C56" s="26">
        <v>1690</v>
      </c>
      <c r="D56" s="186">
        <v>76</v>
      </c>
      <c r="E56" s="186">
        <v>76</v>
      </c>
      <c r="F56" s="367">
        <f t="shared" si="4"/>
        <v>76</v>
      </c>
      <c r="G56" s="367">
        <v>76</v>
      </c>
      <c r="H56" s="367">
        <v>76</v>
      </c>
      <c r="I56" s="534">
        <f t="shared" si="1"/>
        <v>654</v>
      </c>
      <c r="J56" s="459">
        <v>0</v>
      </c>
      <c r="K56" s="459">
        <v>0</v>
      </c>
      <c r="L56" s="459">
        <v>453</v>
      </c>
      <c r="M56" s="471">
        <f t="shared" si="0"/>
        <v>2219</v>
      </c>
      <c r="N56" s="28">
        <v>0</v>
      </c>
      <c r="O56" s="26">
        <v>300</v>
      </c>
      <c r="P56" s="26">
        <v>0</v>
      </c>
      <c r="Q56" s="472"/>
    </row>
    <row r="57" spans="1:17" ht="12.75">
      <c r="A57" s="26">
        <v>655</v>
      </c>
      <c r="B57" s="27" t="s">
        <v>91</v>
      </c>
      <c r="C57" s="26">
        <v>1550</v>
      </c>
      <c r="D57" s="186">
        <v>94</v>
      </c>
      <c r="E57" s="186">
        <v>94</v>
      </c>
      <c r="F57" s="367">
        <f t="shared" si="4"/>
        <v>94</v>
      </c>
      <c r="G57" s="367">
        <v>94</v>
      </c>
      <c r="H57" s="367">
        <v>94</v>
      </c>
      <c r="I57" s="534">
        <f t="shared" si="1"/>
        <v>655</v>
      </c>
      <c r="J57" s="459">
        <v>0</v>
      </c>
      <c r="K57" s="459">
        <v>0</v>
      </c>
      <c r="L57" s="459">
        <v>388</v>
      </c>
      <c r="M57" s="471">
        <f t="shared" si="0"/>
        <v>2032</v>
      </c>
      <c r="N57" s="28">
        <v>0</v>
      </c>
      <c r="O57" s="26">
        <v>200</v>
      </c>
      <c r="P57" s="26">
        <v>0</v>
      </c>
      <c r="Q57" s="472"/>
    </row>
    <row r="58" spans="1:17" ht="12.75">
      <c r="A58" s="26">
        <v>657</v>
      </c>
      <c r="B58" s="27" t="s">
        <v>92</v>
      </c>
      <c r="C58" s="26">
        <v>1340</v>
      </c>
      <c r="D58" s="186">
        <v>122</v>
      </c>
      <c r="E58" s="186">
        <v>122</v>
      </c>
      <c r="F58" s="367">
        <f t="shared" si="4"/>
        <v>122</v>
      </c>
      <c r="G58" s="367">
        <v>122</v>
      </c>
      <c r="H58" s="367">
        <v>122</v>
      </c>
      <c r="I58" s="534">
        <f t="shared" si="1"/>
        <v>657</v>
      </c>
      <c r="J58" s="459">
        <v>0</v>
      </c>
      <c r="K58" s="459">
        <v>0</v>
      </c>
      <c r="L58" s="459">
        <v>0</v>
      </c>
      <c r="M58" s="471">
        <f t="shared" si="0"/>
        <v>1462</v>
      </c>
      <c r="N58" s="28">
        <v>0</v>
      </c>
      <c r="O58" s="26">
        <v>0</v>
      </c>
      <c r="P58" s="26">
        <v>0</v>
      </c>
      <c r="Q58" s="472"/>
    </row>
    <row r="59" spans="1:17" ht="12.75">
      <c r="A59" s="26">
        <v>658</v>
      </c>
      <c r="B59" s="27" t="s">
        <v>93</v>
      </c>
      <c r="C59" s="26">
        <v>1300</v>
      </c>
      <c r="D59" s="186">
        <v>127</v>
      </c>
      <c r="E59" s="186">
        <v>127</v>
      </c>
      <c r="F59" s="367">
        <f t="shared" si="4"/>
        <v>127</v>
      </c>
      <c r="G59" s="367">
        <v>127</v>
      </c>
      <c r="H59" s="367">
        <v>127</v>
      </c>
      <c r="I59" s="534">
        <f t="shared" si="1"/>
        <v>658</v>
      </c>
      <c r="J59" s="459">
        <v>0</v>
      </c>
      <c r="K59" s="459">
        <v>0</v>
      </c>
      <c r="L59" s="459">
        <v>0</v>
      </c>
      <c r="M59" s="471">
        <f t="shared" si="0"/>
        <v>1427</v>
      </c>
      <c r="N59" s="28">
        <v>0</v>
      </c>
      <c r="O59" s="26">
        <v>0</v>
      </c>
      <c r="P59" s="26">
        <v>0</v>
      </c>
      <c r="Q59" s="472"/>
    </row>
    <row r="60" spans="1:17" ht="12.75">
      <c r="A60" s="26">
        <v>659</v>
      </c>
      <c r="B60" s="27" t="s">
        <v>94</v>
      </c>
      <c r="C60" s="26">
        <v>1340</v>
      </c>
      <c r="D60" s="186">
        <v>122</v>
      </c>
      <c r="E60" s="186">
        <v>122</v>
      </c>
      <c r="F60" s="367">
        <f t="shared" si="4"/>
        <v>122</v>
      </c>
      <c r="G60" s="367">
        <v>122</v>
      </c>
      <c r="H60" s="367">
        <v>122</v>
      </c>
      <c r="I60" s="534">
        <f t="shared" si="1"/>
        <v>659</v>
      </c>
      <c r="J60" s="459">
        <v>0</v>
      </c>
      <c r="K60" s="459">
        <v>0</v>
      </c>
      <c r="L60" s="459">
        <v>0</v>
      </c>
      <c r="M60" s="471">
        <f t="shared" si="0"/>
        <v>1462</v>
      </c>
      <c r="N60" s="28">
        <v>0</v>
      </c>
      <c r="O60" s="26">
        <v>0</v>
      </c>
      <c r="P60" s="26">
        <v>0</v>
      </c>
      <c r="Q60" s="472"/>
    </row>
    <row r="61" spans="1:17" ht="12.75">
      <c r="A61" s="26">
        <v>660</v>
      </c>
      <c r="B61" s="27" t="s">
        <v>95</v>
      </c>
      <c r="C61" s="26">
        <v>1300</v>
      </c>
      <c r="D61" s="186">
        <v>127</v>
      </c>
      <c r="E61" s="186">
        <v>127</v>
      </c>
      <c r="F61" s="367">
        <f t="shared" si="4"/>
        <v>127</v>
      </c>
      <c r="G61" s="367">
        <v>127</v>
      </c>
      <c r="H61" s="367">
        <v>127</v>
      </c>
      <c r="I61" s="534">
        <f t="shared" si="1"/>
        <v>660</v>
      </c>
      <c r="J61" s="459">
        <v>0</v>
      </c>
      <c r="K61" s="459">
        <v>0</v>
      </c>
      <c r="L61" s="459">
        <v>0</v>
      </c>
      <c r="M61" s="471">
        <f t="shared" si="0"/>
        <v>1427</v>
      </c>
      <c r="N61" s="28">
        <v>0</v>
      </c>
      <c r="O61" s="26">
        <v>0</v>
      </c>
      <c r="P61" s="26">
        <v>0</v>
      </c>
      <c r="Q61" s="472"/>
    </row>
    <row r="62" spans="1:17" ht="12.75">
      <c r="A62" s="26">
        <v>661</v>
      </c>
      <c r="B62" s="27" t="s">
        <v>96</v>
      </c>
      <c r="C62" s="26">
        <v>1300</v>
      </c>
      <c r="D62" s="186">
        <v>127</v>
      </c>
      <c r="E62" s="186">
        <v>127</v>
      </c>
      <c r="F62" s="367">
        <f t="shared" si="4"/>
        <v>127</v>
      </c>
      <c r="G62" s="367">
        <v>127</v>
      </c>
      <c r="H62" s="367">
        <v>127</v>
      </c>
      <c r="I62" s="534">
        <f t="shared" si="1"/>
        <v>661</v>
      </c>
      <c r="J62" s="459">
        <v>0</v>
      </c>
      <c r="K62" s="459">
        <v>0</v>
      </c>
      <c r="L62" s="459">
        <v>0</v>
      </c>
      <c r="M62" s="471">
        <f t="shared" si="0"/>
        <v>1427</v>
      </c>
      <c r="N62" s="28">
        <v>0</v>
      </c>
      <c r="O62" s="26">
        <v>0</v>
      </c>
      <c r="P62" s="26">
        <v>0</v>
      </c>
      <c r="Q62" s="472"/>
    </row>
    <row r="63" spans="1:17" ht="12.75">
      <c r="A63" s="26">
        <v>662</v>
      </c>
      <c r="B63" s="27" t="s">
        <v>97</v>
      </c>
      <c r="C63" s="26">
        <v>1690</v>
      </c>
      <c r="D63" s="186">
        <v>76</v>
      </c>
      <c r="E63" s="186">
        <v>76</v>
      </c>
      <c r="F63" s="367">
        <f t="shared" si="4"/>
        <v>76</v>
      </c>
      <c r="G63" s="367">
        <v>76</v>
      </c>
      <c r="H63" s="367">
        <v>76</v>
      </c>
      <c r="I63" s="534">
        <f t="shared" si="1"/>
        <v>662</v>
      </c>
      <c r="J63" s="459">
        <v>0</v>
      </c>
      <c r="K63" s="459">
        <v>0</v>
      </c>
      <c r="L63" s="459">
        <v>0</v>
      </c>
      <c r="M63" s="471">
        <f t="shared" si="0"/>
        <v>1766</v>
      </c>
      <c r="N63" s="28">
        <v>0</v>
      </c>
      <c r="O63" s="26">
        <v>708</v>
      </c>
      <c r="P63" s="26">
        <v>0</v>
      </c>
      <c r="Q63" s="472"/>
    </row>
    <row r="64" spans="1:17" ht="12.75">
      <c r="A64" s="26">
        <v>663</v>
      </c>
      <c r="B64" s="27" t="s">
        <v>98</v>
      </c>
      <c r="C64" s="26">
        <v>1500</v>
      </c>
      <c r="D64" s="186">
        <v>101</v>
      </c>
      <c r="E64" s="186">
        <v>101</v>
      </c>
      <c r="F64" s="367">
        <f t="shared" si="4"/>
        <v>101</v>
      </c>
      <c r="G64" s="367">
        <v>101</v>
      </c>
      <c r="H64" s="367">
        <v>101</v>
      </c>
      <c r="I64" s="534">
        <f t="shared" si="1"/>
        <v>663</v>
      </c>
      <c r="J64" s="459">
        <v>0</v>
      </c>
      <c r="K64" s="459">
        <v>0</v>
      </c>
      <c r="L64" s="459">
        <v>388</v>
      </c>
      <c r="M64" s="471">
        <f t="shared" si="0"/>
        <v>1989</v>
      </c>
      <c r="N64" s="28">
        <v>0</v>
      </c>
      <c r="O64" s="26">
        <v>0</v>
      </c>
      <c r="P64" s="26">
        <v>0</v>
      </c>
      <c r="Q64" s="472"/>
    </row>
    <row r="65" spans="1:17" ht="12.75">
      <c r="A65" s="26">
        <v>664</v>
      </c>
      <c r="B65" s="27" t="s">
        <v>99</v>
      </c>
      <c r="C65" s="26">
        <v>971</v>
      </c>
      <c r="D65" s="186">
        <v>170</v>
      </c>
      <c r="E65" s="535">
        <v>216</v>
      </c>
      <c r="F65" s="367">
        <v>261</v>
      </c>
      <c r="G65" s="459">
        <v>327</v>
      </c>
      <c r="H65" s="459">
        <v>350</v>
      </c>
      <c r="I65" s="534">
        <f t="shared" si="1"/>
        <v>664</v>
      </c>
      <c r="J65" s="459">
        <v>0</v>
      </c>
      <c r="K65" s="459">
        <v>0</v>
      </c>
      <c r="L65" s="459">
        <v>0</v>
      </c>
      <c r="M65" s="471">
        <f t="shared" si="0"/>
        <v>1298</v>
      </c>
      <c r="N65" s="28">
        <v>0</v>
      </c>
      <c r="O65" s="26">
        <v>620</v>
      </c>
      <c r="P65" s="26">
        <v>0</v>
      </c>
      <c r="Q65" s="472"/>
    </row>
    <row r="66" spans="1:17" ht="12.75">
      <c r="A66" s="26">
        <v>667</v>
      </c>
      <c r="B66" s="27" t="s">
        <v>100</v>
      </c>
      <c r="C66" s="26">
        <v>2000</v>
      </c>
      <c r="D66" s="186">
        <v>36</v>
      </c>
      <c r="E66" s="186">
        <v>36</v>
      </c>
      <c r="F66" s="367">
        <f aca="true" t="shared" si="5" ref="F66:F92">IF(C66&lt;972,E66+44,E66)</f>
        <v>36</v>
      </c>
      <c r="G66" s="367">
        <v>36</v>
      </c>
      <c r="H66" s="367">
        <v>36</v>
      </c>
      <c r="I66" s="534">
        <f t="shared" si="1"/>
        <v>667</v>
      </c>
      <c r="J66" s="459">
        <v>647</v>
      </c>
      <c r="K66" s="459">
        <v>647</v>
      </c>
      <c r="L66" s="459">
        <v>647</v>
      </c>
      <c r="M66" s="471">
        <f t="shared" si="0"/>
        <v>2683</v>
      </c>
      <c r="N66" s="28">
        <v>0</v>
      </c>
      <c r="O66" s="26">
        <v>830</v>
      </c>
      <c r="P66" s="26">
        <v>0</v>
      </c>
      <c r="Q66" s="472"/>
    </row>
    <row r="67" spans="1:17" ht="12.75">
      <c r="A67" s="26">
        <v>668</v>
      </c>
      <c r="B67" s="27" t="s">
        <v>101</v>
      </c>
      <c r="C67" s="26">
        <v>1840</v>
      </c>
      <c r="D67" s="186">
        <v>57</v>
      </c>
      <c r="E67" s="186">
        <v>57</v>
      </c>
      <c r="F67" s="367">
        <f t="shared" si="5"/>
        <v>57</v>
      </c>
      <c r="G67" s="367">
        <v>57</v>
      </c>
      <c r="H67" s="367">
        <v>57</v>
      </c>
      <c r="I67" s="534">
        <f t="shared" si="1"/>
        <v>668</v>
      </c>
      <c r="J67" s="459">
        <v>582.3</v>
      </c>
      <c r="K67" s="459">
        <v>582.3</v>
      </c>
      <c r="L67" s="459">
        <v>582.3</v>
      </c>
      <c r="M67" s="471">
        <f aca="true" t="shared" si="6" ref="M67:M130">C67+G67+L67</f>
        <v>2479.3</v>
      </c>
      <c r="N67" s="28">
        <v>0</v>
      </c>
      <c r="O67" s="26">
        <v>830</v>
      </c>
      <c r="P67" s="26">
        <v>0</v>
      </c>
      <c r="Q67" s="472"/>
    </row>
    <row r="68" spans="1:17" ht="12.75">
      <c r="A68" s="26">
        <v>669</v>
      </c>
      <c r="B68" s="27" t="s">
        <v>102</v>
      </c>
      <c r="C68" s="26">
        <v>1680</v>
      </c>
      <c r="D68" s="186">
        <v>77</v>
      </c>
      <c r="E68" s="186">
        <v>77</v>
      </c>
      <c r="F68" s="367">
        <f t="shared" si="5"/>
        <v>77</v>
      </c>
      <c r="G68" s="367">
        <v>77</v>
      </c>
      <c r="H68" s="367">
        <v>77</v>
      </c>
      <c r="I68" s="534">
        <f t="shared" si="1"/>
        <v>669</v>
      </c>
      <c r="J68" s="459">
        <v>452.9</v>
      </c>
      <c r="K68" s="459">
        <v>452.9</v>
      </c>
      <c r="L68" s="459">
        <v>452.9</v>
      </c>
      <c r="M68" s="471">
        <f t="shared" si="6"/>
        <v>2209.9</v>
      </c>
      <c r="N68" s="28">
        <v>0</v>
      </c>
      <c r="O68" s="26">
        <v>830</v>
      </c>
      <c r="P68" s="26">
        <v>0</v>
      </c>
      <c r="Q68" s="472"/>
    </row>
    <row r="69" spans="1:17" ht="12.75">
      <c r="A69" s="26">
        <v>670</v>
      </c>
      <c r="B69" s="27" t="s">
        <v>103</v>
      </c>
      <c r="C69" s="26">
        <v>1740</v>
      </c>
      <c r="D69" s="186">
        <v>70</v>
      </c>
      <c r="E69" s="186">
        <v>70</v>
      </c>
      <c r="F69" s="367">
        <f t="shared" si="5"/>
        <v>70</v>
      </c>
      <c r="G69" s="367">
        <v>70</v>
      </c>
      <c r="H69" s="367">
        <v>70</v>
      </c>
      <c r="I69" s="534">
        <f t="shared" si="1"/>
        <v>670</v>
      </c>
      <c r="J69" s="459">
        <v>517.6</v>
      </c>
      <c r="K69" s="459">
        <v>517.6</v>
      </c>
      <c r="L69" s="459">
        <v>517.6</v>
      </c>
      <c r="M69" s="471">
        <f t="shared" si="6"/>
        <v>2327.6</v>
      </c>
      <c r="N69" s="28">
        <v>0</v>
      </c>
      <c r="O69" s="26">
        <v>750</v>
      </c>
      <c r="P69" s="26">
        <v>0</v>
      </c>
      <c r="Q69" s="472"/>
    </row>
    <row r="70" spans="1:17" ht="12.75">
      <c r="A70" s="26">
        <v>671</v>
      </c>
      <c r="B70" s="27" t="s">
        <v>104</v>
      </c>
      <c r="C70" s="26">
        <v>1610</v>
      </c>
      <c r="D70" s="186">
        <v>87</v>
      </c>
      <c r="E70" s="186">
        <v>87</v>
      </c>
      <c r="F70" s="367">
        <f t="shared" si="5"/>
        <v>87</v>
      </c>
      <c r="G70" s="367">
        <v>87</v>
      </c>
      <c r="H70" s="367">
        <v>87</v>
      </c>
      <c r="I70" s="534">
        <f aca="true" t="shared" si="7" ref="I70:I133">A70</f>
        <v>671</v>
      </c>
      <c r="J70" s="459">
        <v>0</v>
      </c>
      <c r="K70" s="459">
        <v>0</v>
      </c>
      <c r="L70" s="459">
        <v>0</v>
      </c>
      <c r="M70" s="471">
        <f t="shared" si="6"/>
        <v>1697</v>
      </c>
      <c r="N70" s="28">
        <v>0</v>
      </c>
      <c r="O70" s="26">
        <v>750</v>
      </c>
      <c r="P70" s="26">
        <v>0</v>
      </c>
      <c r="Q70" s="472"/>
    </row>
    <row r="71" spans="1:17" ht="12.75">
      <c r="A71" s="26">
        <v>672</v>
      </c>
      <c r="B71" s="27" t="s">
        <v>105</v>
      </c>
      <c r="C71" s="26">
        <v>2000</v>
      </c>
      <c r="D71" s="186">
        <v>36</v>
      </c>
      <c r="E71" s="186">
        <v>36</v>
      </c>
      <c r="F71" s="367">
        <f t="shared" si="5"/>
        <v>36</v>
      </c>
      <c r="G71" s="367">
        <v>36</v>
      </c>
      <c r="H71" s="367">
        <v>36</v>
      </c>
      <c r="I71" s="534">
        <f t="shared" si="7"/>
        <v>672</v>
      </c>
      <c r="J71" s="459">
        <v>647</v>
      </c>
      <c r="K71" s="459">
        <v>647</v>
      </c>
      <c r="L71" s="459">
        <v>647</v>
      </c>
      <c r="M71" s="471">
        <f t="shared" si="6"/>
        <v>2683</v>
      </c>
      <c r="N71" s="28">
        <v>0</v>
      </c>
      <c r="O71" s="26">
        <v>300</v>
      </c>
      <c r="P71" s="26">
        <v>0</v>
      </c>
      <c r="Q71" s="472"/>
    </row>
    <row r="72" spans="1:17" ht="12.75">
      <c r="A72" s="26">
        <v>673</v>
      </c>
      <c r="B72" s="27" t="s">
        <v>106</v>
      </c>
      <c r="C72" s="26">
        <v>1840</v>
      </c>
      <c r="D72" s="186">
        <v>57</v>
      </c>
      <c r="E72" s="186">
        <v>57</v>
      </c>
      <c r="F72" s="367">
        <f t="shared" si="5"/>
        <v>57</v>
      </c>
      <c r="G72" s="367">
        <v>57</v>
      </c>
      <c r="H72" s="367">
        <v>57</v>
      </c>
      <c r="I72" s="534">
        <f t="shared" si="7"/>
        <v>673</v>
      </c>
      <c r="J72" s="459">
        <v>582.3</v>
      </c>
      <c r="K72" s="459">
        <v>582.3</v>
      </c>
      <c r="L72" s="459">
        <v>582.3</v>
      </c>
      <c r="M72" s="471">
        <f t="shared" si="6"/>
        <v>2479.3</v>
      </c>
      <c r="N72" s="28">
        <v>0</v>
      </c>
      <c r="O72" s="26">
        <v>300</v>
      </c>
      <c r="P72" s="26">
        <v>0</v>
      </c>
      <c r="Q72" s="472"/>
    </row>
    <row r="73" spans="1:17" ht="12.75">
      <c r="A73" s="26">
        <v>674</v>
      </c>
      <c r="B73" s="27" t="s">
        <v>107</v>
      </c>
      <c r="C73" s="26">
        <v>1680</v>
      </c>
      <c r="D73" s="186">
        <v>77</v>
      </c>
      <c r="E73" s="186">
        <v>77</v>
      </c>
      <c r="F73" s="367">
        <f t="shared" si="5"/>
        <v>77</v>
      </c>
      <c r="G73" s="367">
        <v>77</v>
      </c>
      <c r="H73" s="367">
        <v>77</v>
      </c>
      <c r="I73" s="534">
        <f t="shared" si="7"/>
        <v>674</v>
      </c>
      <c r="J73" s="459">
        <v>452.9</v>
      </c>
      <c r="K73" s="459">
        <v>452.9</v>
      </c>
      <c r="L73" s="459">
        <v>452.9</v>
      </c>
      <c r="M73" s="471">
        <f t="shared" si="6"/>
        <v>2209.9</v>
      </c>
      <c r="N73" s="28">
        <v>0</v>
      </c>
      <c r="O73" s="26">
        <v>300</v>
      </c>
      <c r="P73" s="26">
        <v>0</v>
      </c>
      <c r="Q73" s="472"/>
    </row>
    <row r="74" spans="1:17" ht="12.75">
      <c r="A74" s="26">
        <v>675</v>
      </c>
      <c r="B74" s="27" t="s">
        <v>450</v>
      </c>
      <c r="C74" s="26">
        <v>1740</v>
      </c>
      <c r="D74" s="186">
        <v>70</v>
      </c>
      <c r="E74" s="186">
        <v>70</v>
      </c>
      <c r="F74" s="367">
        <f t="shared" si="5"/>
        <v>70</v>
      </c>
      <c r="G74" s="367">
        <v>70</v>
      </c>
      <c r="H74" s="367">
        <v>70</v>
      </c>
      <c r="I74" s="534">
        <f t="shared" si="7"/>
        <v>675</v>
      </c>
      <c r="J74" s="459">
        <v>0</v>
      </c>
      <c r="K74" s="459">
        <v>0</v>
      </c>
      <c r="L74" s="459">
        <v>517</v>
      </c>
      <c r="M74" s="471">
        <f t="shared" si="6"/>
        <v>2327</v>
      </c>
      <c r="N74" s="28">
        <v>0</v>
      </c>
      <c r="O74" s="26">
        <v>725</v>
      </c>
      <c r="P74" s="26">
        <v>0</v>
      </c>
      <c r="Q74" s="472"/>
    </row>
    <row r="75" spans="1:17" ht="12.75">
      <c r="A75" s="26">
        <v>676</v>
      </c>
      <c r="B75" s="27" t="s">
        <v>451</v>
      </c>
      <c r="C75" s="26">
        <v>1610</v>
      </c>
      <c r="D75" s="186">
        <v>87</v>
      </c>
      <c r="E75" s="186">
        <v>87</v>
      </c>
      <c r="F75" s="367">
        <f t="shared" si="5"/>
        <v>87</v>
      </c>
      <c r="G75" s="367">
        <v>87</v>
      </c>
      <c r="H75" s="367">
        <v>87</v>
      </c>
      <c r="I75" s="534">
        <f t="shared" si="7"/>
        <v>676</v>
      </c>
      <c r="J75" s="459">
        <v>0</v>
      </c>
      <c r="K75" s="459">
        <v>0</v>
      </c>
      <c r="L75" s="459">
        <v>388</v>
      </c>
      <c r="M75" s="471">
        <f t="shared" si="6"/>
        <v>2085</v>
      </c>
      <c r="N75" s="28">
        <v>0</v>
      </c>
      <c r="O75" s="26">
        <v>725</v>
      </c>
      <c r="P75" s="26">
        <v>0</v>
      </c>
      <c r="Q75" s="472"/>
    </row>
    <row r="76" spans="1:17" ht="12.75">
      <c r="A76" s="26">
        <v>677</v>
      </c>
      <c r="B76" s="27" t="s">
        <v>452</v>
      </c>
      <c r="C76" s="26">
        <v>1500</v>
      </c>
      <c r="D76" s="186">
        <v>101</v>
      </c>
      <c r="E76" s="186">
        <v>101</v>
      </c>
      <c r="F76" s="367">
        <f t="shared" si="5"/>
        <v>101</v>
      </c>
      <c r="G76" s="367">
        <v>101</v>
      </c>
      <c r="H76" s="367">
        <v>101</v>
      </c>
      <c r="I76" s="534">
        <f t="shared" si="7"/>
        <v>677</v>
      </c>
      <c r="J76" s="459">
        <v>0</v>
      </c>
      <c r="K76" s="459">
        <v>0</v>
      </c>
      <c r="L76" s="459">
        <v>388</v>
      </c>
      <c r="M76" s="471">
        <f t="shared" si="6"/>
        <v>1989</v>
      </c>
      <c r="N76" s="28">
        <v>0</v>
      </c>
      <c r="O76" s="26">
        <v>725</v>
      </c>
      <c r="P76" s="26">
        <v>0</v>
      </c>
      <c r="Q76" s="472"/>
    </row>
    <row r="77" spans="1:17" ht="12.75">
      <c r="A77" s="26">
        <v>678</v>
      </c>
      <c r="B77" s="27" t="s">
        <v>108</v>
      </c>
      <c r="C77" s="26">
        <v>1320</v>
      </c>
      <c r="D77" s="186">
        <v>124</v>
      </c>
      <c r="E77" s="186">
        <v>124</v>
      </c>
      <c r="F77" s="367">
        <f t="shared" si="5"/>
        <v>124</v>
      </c>
      <c r="G77" s="367">
        <v>124</v>
      </c>
      <c r="H77" s="367">
        <v>124</v>
      </c>
      <c r="I77" s="534">
        <f t="shared" si="7"/>
        <v>678</v>
      </c>
      <c r="J77" s="459">
        <v>0</v>
      </c>
      <c r="K77" s="459">
        <v>0</v>
      </c>
      <c r="L77" s="459">
        <v>0</v>
      </c>
      <c r="M77" s="471">
        <f t="shared" si="6"/>
        <v>1444</v>
      </c>
      <c r="N77" s="28">
        <v>0</v>
      </c>
      <c r="O77" s="26">
        <v>590</v>
      </c>
      <c r="P77" s="26">
        <v>0</v>
      </c>
      <c r="Q77" s="472"/>
    </row>
    <row r="78" spans="1:17" ht="12.75">
      <c r="A78" s="26">
        <v>679</v>
      </c>
      <c r="B78" s="27" t="s">
        <v>109</v>
      </c>
      <c r="C78" s="26">
        <v>1690</v>
      </c>
      <c r="D78" s="186">
        <v>76</v>
      </c>
      <c r="E78" s="186">
        <v>76</v>
      </c>
      <c r="F78" s="367">
        <f t="shared" si="5"/>
        <v>76</v>
      </c>
      <c r="G78" s="367">
        <v>76</v>
      </c>
      <c r="H78" s="367">
        <v>76</v>
      </c>
      <c r="I78" s="534">
        <f t="shared" si="7"/>
        <v>679</v>
      </c>
      <c r="J78" s="459">
        <v>0</v>
      </c>
      <c r="K78" s="459">
        <v>0</v>
      </c>
      <c r="L78" s="459">
        <v>0</v>
      </c>
      <c r="M78" s="471">
        <f t="shared" si="6"/>
        <v>1766</v>
      </c>
      <c r="N78" s="28">
        <v>0</v>
      </c>
      <c r="O78" s="26">
        <v>708</v>
      </c>
      <c r="P78" s="26">
        <v>0</v>
      </c>
      <c r="Q78" s="472"/>
    </row>
    <row r="79" spans="1:17" ht="12.75">
      <c r="A79" s="26">
        <v>680</v>
      </c>
      <c r="B79" s="27" t="s">
        <v>110</v>
      </c>
      <c r="C79" s="26">
        <v>1550</v>
      </c>
      <c r="D79" s="186">
        <v>94</v>
      </c>
      <c r="E79" s="186">
        <v>94</v>
      </c>
      <c r="F79" s="367">
        <f t="shared" si="5"/>
        <v>94</v>
      </c>
      <c r="G79" s="367">
        <v>94</v>
      </c>
      <c r="H79" s="367">
        <v>94</v>
      </c>
      <c r="I79" s="534">
        <f t="shared" si="7"/>
        <v>680</v>
      </c>
      <c r="J79" s="459">
        <v>0</v>
      </c>
      <c r="K79" s="459">
        <v>0</v>
      </c>
      <c r="L79" s="459">
        <v>0</v>
      </c>
      <c r="M79" s="471">
        <f t="shared" si="6"/>
        <v>1644</v>
      </c>
      <c r="N79" s="28">
        <v>0</v>
      </c>
      <c r="O79" s="26">
        <v>708</v>
      </c>
      <c r="P79" s="26">
        <v>0</v>
      </c>
      <c r="Q79" s="472"/>
    </row>
    <row r="80" spans="1:17" ht="12.75">
      <c r="A80" s="26">
        <v>681</v>
      </c>
      <c r="B80" s="27" t="s">
        <v>111</v>
      </c>
      <c r="C80" s="26">
        <v>1400</v>
      </c>
      <c r="D80" s="186">
        <v>114</v>
      </c>
      <c r="E80" s="186">
        <v>114</v>
      </c>
      <c r="F80" s="367">
        <f t="shared" si="5"/>
        <v>114</v>
      </c>
      <c r="G80" s="367">
        <v>114</v>
      </c>
      <c r="H80" s="367">
        <v>114</v>
      </c>
      <c r="I80" s="534">
        <f t="shared" si="7"/>
        <v>681</v>
      </c>
      <c r="J80" s="459">
        <v>0</v>
      </c>
      <c r="K80" s="459">
        <v>0</v>
      </c>
      <c r="L80" s="459">
        <v>0</v>
      </c>
      <c r="M80" s="471">
        <f t="shared" si="6"/>
        <v>1514</v>
      </c>
      <c r="N80" s="28">
        <v>0</v>
      </c>
      <c r="O80" s="26">
        <v>708</v>
      </c>
      <c r="P80" s="26">
        <v>0</v>
      </c>
      <c r="Q80" s="472"/>
    </row>
    <row r="81" spans="1:17" ht="12.75">
      <c r="A81" s="26">
        <v>682</v>
      </c>
      <c r="B81" s="29" t="s">
        <v>112</v>
      </c>
      <c r="C81" s="26">
        <v>1170</v>
      </c>
      <c r="D81" s="186">
        <v>144</v>
      </c>
      <c r="E81" s="186">
        <v>144</v>
      </c>
      <c r="F81" s="367">
        <f t="shared" si="5"/>
        <v>144</v>
      </c>
      <c r="G81" s="367">
        <v>144</v>
      </c>
      <c r="H81" s="367">
        <v>144</v>
      </c>
      <c r="I81" s="534">
        <f t="shared" si="7"/>
        <v>682</v>
      </c>
      <c r="J81" s="459">
        <v>0</v>
      </c>
      <c r="K81" s="459">
        <v>0</v>
      </c>
      <c r="L81" s="459">
        <v>0</v>
      </c>
      <c r="M81" s="471">
        <f t="shared" si="6"/>
        <v>1314</v>
      </c>
      <c r="N81" s="28">
        <v>0</v>
      </c>
      <c r="O81" s="26">
        <v>580</v>
      </c>
      <c r="P81" s="26">
        <v>0</v>
      </c>
      <c r="Q81" s="472"/>
    </row>
    <row r="82" spans="1:17" ht="12.75">
      <c r="A82" s="26">
        <v>683</v>
      </c>
      <c r="B82" s="29" t="s">
        <v>113</v>
      </c>
      <c r="C82" s="26">
        <v>1170</v>
      </c>
      <c r="D82" s="186">
        <v>144</v>
      </c>
      <c r="E82" s="186">
        <v>144</v>
      </c>
      <c r="F82" s="367">
        <f t="shared" si="5"/>
        <v>144</v>
      </c>
      <c r="G82" s="367">
        <v>144</v>
      </c>
      <c r="H82" s="367">
        <v>144</v>
      </c>
      <c r="I82" s="534">
        <f t="shared" si="7"/>
        <v>683</v>
      </c>
      <c r="J82" s="459">
        <v>0</v>
      </c>
      <c r="K82" s="459">
        <v>0</v>
      </c>
      <c r="L82" s="459">
        <v>0</v>
      </c>
      <c r="M82" s="471">
        <f t="shared" si="6"/>
        <v>1314</v>
      </c>
      <c r="N82" s="28">
        <v>0</v>
      </c>
      <c r="O82" s="26">
        <v>580</v>
      </c>
      <c r="P82" s="26">
        <v>0</v>
      </c>
      <c r="Q82" s="472"/>
    </row>
    <row r="83" spans="1:17" ht="12.75">
      <c r="A83" s="26">
        <v>684</v>
      </c>
      <c r="B83" s="27" t="s">
        <v>114</v>
      </c>
      <c r="C83" s="26">
        <v>1170</v>
      </c>
      <c r="D83" s="186">
        <v>144</v>
      </c>
      <c r="E83" s="186">
        <v>144</v>
      </c>
      <c r="F83" s="367">
        <f t="shared" si="5"/>
        <v>144</v>
      </c>
      <c r="G83" s="367">
        <v>144</v>
      </c>
      <c r="H83" s="367">
        <v>144</v>
      </c>
      <c r="I83" s="534">
        <f t="shared" si="7"/>
        <v>684</v>
      </c>
      <c r="J83" s="459">
        <v>0</v>
      </c>
      <c r="K83" s="459">
        <v>0</v>
      </c>
      <c r="L83" s="459">
        <v>0</v>
      </c>
      <c r="M83" s="471">
        <f t="shared" si="6"/>
        <v>1314</v>
      </c>
      <c r="N83" s="28">
        <v>0</v>
      </c>
      <c r="O83" s="26">
        <v>580</v>
      </c>
      <c r="P83" s="26">
        <v>0</v>
      </c>
      <c r="Q83" s="472"/>
    </row>
    <row r="84" spans="1:17" ht="12.75">
      <c r="A84" s="26">
        <v>685</v>
      </c>
      <c r="B84" s="27" t="s">
        <v>115</v>
      </c>
      <c r="C84" s="26">
        <v>1500</v>
      </c>
      <c r="D84" s="186">
        <v>101</v>
      </c>
      <c r="E84" s="186">
        <v>101</v>
      </c>
      <c r="F84" s="367">
        <f t="shared" si="5"/>
        <v>101</v>
      </c>
      <c r="G84" s="367">
        <v>101</v>
      </c>
      <c r="H84" s="367">
        <v>101</v>
      </c>
      <c r="I84" s="534">
        <f t="shared" si="7"/>
        <v>685</v>
      </c>
      <c r="J84" s="459">
        <v>388.2</v>
      </c>
      <c r="K84" s="459">
        <v>388.2</v>
      </c>
      <c r="L84" s="459">
        <v>388.2</v>
      </c>
      <c r="M84" s="471">
        <f t="shared" si="6"/>
        <v>1989.2</v>
      </c>
      <c r="N84" s="28">
        <v>0</v>
      </c>
      <c r="O84" s="26">
        <v>750</v>
      </c>
      <c r="P84" s="26">
        <v>0</v>
      </c>
      <c r="Q84" s="472"/>
    </row>
    <row r="85" spans="1:17" ht="12.75">
      <c r="A85" s="26">
        <v>686</v>
      </c>
      <c r="B85" s="27" t="s">
        <v>116</v>
      </c>
      <c r="C85" s="26">
        <v>2000</v>
      </c>
      <c r="D85" s="186">
        <v>36</v>
      </c>
      <c r="E85" s="186">
        <v>36</v>
      </c>
      <c r="F85" s="367">
        <f t="shared" si="5"/>
        <v>36</v>
      </c>
      <c r="G85" s="367">
        <v>36</v>
      </c>
      <c r="H85" s="367">
        <v>36</v>
      </c>
      <c r="I85" s="534">
        <f t="shared" si="7"/>
        <v>686</v>
      </c>
      <c r="J85" s="459">
        <v>647</v>
      </c>
      <c r="K85" s="459">
        <v>647</v>
      </c>
      <c r="L85" s="459">
        <v>647</v>
      </c>
      <c r="M85" s="471">
        <f t="shared" si="6"/>
        <v>2683</v>
      </c>
      <c r="N85" s="28">
        <v>0</v>
      </c>
      <c r="O85" s="26">
        <v>600</v>
      </c>
      <c r="P85" s="26">
        <v>0</v>
      </c>
      <c r="Q85" s="472"/>
    </row>
    <row r="86" spans="1:17" ht="12.75">
      <c r="A86" s="26">
        <v>687</v>
      </c>
      <c r="B86" s="27" t="s">
        <v>117</v>
      </c>
      <c r="C86" s="26">
        <v>1840</v>
      </c>
      <c r="D86" s="186">
        <v>57</v>
      </c>
      <c r="E86" s="186">
        <v>57</v>
      </c>
      <c r="F86" s="367">
        <f t="shared" si="5"/>
        <v>57</v>
      </c>
      <c r="G86" s="367">
        <v>57</v>
      </c>
      <c r="H86" s="367">
        <v>57</v>
      </c>
      <c r="I86" s="534">
        <f t="shared" si="7"/>
        <v>687</v>
      </c>
      <c r="J86" s="459">
        <v>582.3</v>
      </c>
      <c r="K86" s="459">
        <v>582.3</v>
      </c>
      <c r="L86" s="459">
        <v>582.3</v>
      </c>
      <c r="M86" s="471">
        <f t="shared" si="6"/>
        <v>2479.3</v>
      </c>
      <c r="N86" s="28">
        <v>0</v>
      </c>
      <c r="O86" s="26">
        <v>600</v>
      </c>
      <c r="P86" s="26">
        <v>0</v>
      </c>
      <c r="Q86" s="472"/>
    </row>
    <row r="87" spans="1:17" ht="12.75">
      <c r="A87" s="26">
        <v>688</v>
      </c>
      <c r="B87" s="27" t="s">
        <v>118</v>
      </c>
      <c r="C87" s="26">
        <v>1680</v>
      </c>
      <c r="D87" s="186">
        <v>77</v>
      </c>
      <c r="E87" s="186">
        <v>77</v>
      </c>
      <c r="F87" s="367">
        <f t="shared" si="5"/>
        <v>77</v>
      </c>
      <c r="G87" s="367">
        <v>77</v>
      </c>
      <c r="H87" s="367">
        <v>77</v>
      </c>
      <c r="I87" s="534">
        <f t="shared" si="7"/>
        <v>688</v>
      </c>
      <c r="J87" s="459">
        <v>0</v>
      </c>
      <c r="K87" s="459">
        <v>0</v>
      </c>
      <c r="L87" s="459">
        <v>0</v>
      </c>
      <c r="M87" s="471">
        <f t="shared" si="6"/>
        <v>1757</v>
      </c>
      <c r="N87" s="28">
        <v>0</v>
      </c>
      <c r="O87" s="26">
        <v>600</v>
      </c>
      <c r="P87" s="26">
        <v>0</v>
      </c>
      <c r="Q87" s="472"/>
    </row>
    <row r="88" spans="1:17" ht="12.75">
      <c r="A88" s="26">
        <v>689</v>
      </c>
      <c r="B88" s="29" t="s">
        <v>119</v>
      </c>
      <c r="C88" s="26">
        <v>1170</v>
      </c>
      <c r="D88" s="186">
        <v>144</v>
      </c>
      <c r="E88" s="186">
        <v>144</v>
      </c>
      <c r="F88" s="367">
        <f t="shared" si="5"/>
        <v>144</v>
      </c>
      <c r="G88" s="367">
        <v>144</v>
      </c>
      <c r="H88" s="367">
        <v>144</v>
      </c>
      <c r="I88" s="534">
        <f t="shared" si="7"/>
        <v>689</v>
      </c>
      <c r="J88" s="459">
        <v>0</v>
      </c>
      <c r="K88" s="459">
        <v>0</v>
      </c>
      <c r="L88" s="459">
        <v>0</v>
      </c>
      <c r="M88" s="471">
        <f t="shared" si="6"/>
        <v>1314</v>
      </c>
      <c r="N88" s="28">
        <v>0</v>
      </c>
      <c r="O88" s="26">
        <v>580</v>
      </c>
      <c r="P88" s="26">
        <v>0</v>
      </c>
      <c r="Q88" s="472"/>
    </row>
    <row r="89" spans="1:17" ht="12.75">
      <c r="A89" s="26">
        <v>691</v>
      </c>
      <c r="B89" s="27" t="s">
        <v>120</v>
      </c>
      <c r="C89" s="26">
        <v>1500</v>
      </c>
      <c r="D89" s="186">
        <v>101</v>
      </c>
      <c r="E89" s="186">
        <v>101</v>
      </c>
      <c r="F89" s="367">
        <f t="shared" si="5"/>
        <v>101</v>
      </c>
      <c r="G89" s="367">
        <v>101</v>
      </c>
      <c r="H89" s="367">
        <v>101</v>
      </c>
      <c r="I89" s="534">
        <f t="shared" si="7"/>
        <v>691</v>
      </c>
      <c r="J89" s="459">
        <v>0</v>
      </c>
      <c r="K89" s="459">
        <v>0</v>
      </c>
      <c r="L89" s="459">
        <v>0</v>
      </c>
      <c r="M89" s="471">
        <f t="shared" si="6"/>
        <v>1601</v>
      </c>
      <c r="N89" s="28">
        <v>0</v>
      </c>
      <c r="O89" s="26">
        <v>750</v>
      </c>
      <c r="P89" s="26">
        <v>0</v>
      </c>
      <c r="Q89" s="472"/>
    </row>
    <row r="90" spans="1:17" ht="12.75">
      <c r="A90" s="26">
        <v>692</v>
      </c>
      <c r="B90" s="27" t="s">
        <v>121</v>
      </c>
      <c r="C90" s="26">
        <v>1690</v>
      </c>
      <c r="D90" s="186">
        <v>76</v>
      </c>
      <c r="E90" s="186">
        <v>76</v>
      </c>
      <c r="F90" s="367">
        <f t="shared" si="5"/>
        <v>76</v>
      </c>
      <c r="G90" s="367">
        <v>76</v>
      </c>
      <c r="H90" s="367">
        <v>76</v>
      </c>
      <c r="I90" s="534">
        <f t="shared" si="7"/>
        <v>692</v>
      </c>
      <c r="J90" s="459">
        <v>0</v>
      </c>
      <c r="K90" s="459">
        <v>0</v>
      </c>
      <c r="L90" s="459">
        <v>0</v>
      </c>
      <c r="M90" s="471">
        <f t="shared" si="6"/>
        <v>1766</v>
      </c>
      <c r="N90" s="28">
        <v>0</v>
      </c>
      <c r="O90" s="26">
        <v>620</v>
      </c>
      <c r="P90" s="26">
        <v>0</v>
      </c>
      <c r="Q90" s="472"/>
    </row>
    <row r="91" spans="1:17" ht="12.75">
      <c r="A91" s="26">
        <v>693</v>
      </c>
      <c r="B91" s="27" t="s">
        <v>122</v>
      </c>
      <c r="C91" s="26">
        <v>1550</v>
      </c>
      <c r="D91" s="186">
        <v>94</v>
      </c>
      <c r="E91" s="186">
        <v>94</v>
      </c>
      <c r="F91" s="367">
        <f t="shared" si="5"/>
        <v>94</v>
      </c>
      <c r="G91" s="367">
        <v>94</v>
      </c>
      <c r="H91" s="367">
        <v>94</v>
      </c>
      <c r="I91" s="534">
        <f t="shared" si="7"/>
        <v>693</v>
      </c>
      <c r="J91" s="459">
        <v>0</v>
      </c>
      <c r="K91" s="459">
        <v>0</v>
      </c>
      <c r="L91" s="459">
        <v>0</v>
      </c>
      <c r="M91" s="471">
        <f t="shared" si="6"/>
        <v>1644</v>
      </c>
      <c r="N91" s="28">
        <v>0</v>
      </c>
      <c r="O91" s="26">
        <v>620</v>
      </c>
      <c r="P91" s="26">
        <v>0</v>
      </c>
      <c r="Q91" s="472"/>
    </row>
    <row r="92" spans="1:17" ht="12.75">
      <c r="A92" s="26">
        <v>694</v>
      </c>
      <c r="B92" s="27" t="s">
        <v>123</v>
      </c>
      <c r="C92" s="26">
        <v>1400</v>
      </c>
      <c r="D92" s="186">
        <v>114</v>
      </c>
      <c r="E92" s="186">
        <v>114</v>
      </c>
      <c r="F92" s="367">
        <f t="shared" si="5"/>
        <v>114</v>
      </c>
      <c r="G92" s="367">
        <v>114</v>
      </c>
      <c r="H92" s="367">
        <v>114</v>
      </c>
      <c r="I92" s="534">
        <f t="shared" si="7"/>
        <v>694</v>
      </c>
      <c r="J92" s="459">
        <v>0</v>
      </c>
      <c r="K92" s="459">
        <v>0</v>
      </c>
      <c r="L92" s="459">
        <v>0</v>
      </c>
      <c r="M92" s="471">
        <f t="shared" si="6"/>
        <v>1514</v>
      </c>
      <c r="N92" s="28">
        <v>0</v>
      </c>
      <c r="O92" s="26">
        <v>620</v>
      </c>
      <c r="P92" s="26">
        <v>0</v>
      </c>
      <c r="Q92" s="472"/>
    </row>
    <row r="93" spans="1:17" ht="12.75">
      <c r="A93" s="26">
        <v>695</v>
      </c>
      <c r="B93" s="27" t="s">
        <v>124</v>
      </c>
      <c r="C93" s="26">
        <v>906</v>
      </c>
      <c r="D93" s="186">
        <v>170</v>
      </c>
      <c r="E93" s="535">
        <v>216</v>
      </c>
      <c r="F93" s="367">
        <v>261</v>
      </c>
      <c r="G93" s="459">
        <v>327</v>
      </c>
      <c r="H93" s="459">
        <v>350</v>
      </c>
      <c r="I93" s="534">
        <f t="shared" si="7"/>
        <v>695</v>
      </c>
      <c r="J93" s="459">
        <v>0</v>
      </c>
      <c r="K93" s="459">
        <v>0</v>
      </c>
      <c r="L93" s="459">
        <v>0</v>
      </c>
      <c r="M93" s="471">
        <f t="shared" si="6"/>
        <v>1233</v>
      </c>
      <c r="N93" s="28">
        <v>0</v>
      </c>
      <c r="O93" s="26">
        <v>0</v>
      </c>
      <c r="P93" s="26">
        <v>0</v>
      </c>
      <c r="Q93" s="472"/>
    </row>
    <row r="94" spans="1:17" ht="12.75">
      <c r="A94" s="26">
        <v>696</v>
      </c>
      <c r="B94" s="27" t="s">
        <v>125</v>
      </c>
      <c r="C94" s="26">
        <v>1500</v>
      </c>
      <c r="D94" s="186">
        <v>101</v>
      </c>
      <c r="E94" s="186">
        <v>101</v>
      </c>
      <c r="F94" s="367">
        <f>IF(C94&lt;972,E94+44,E94)</f>
        <v>101</v>
      </c>
      <c r="G94" s="367">
        <v>101</v>
      </c>
      <c r="H94" s="367">
        <v>101</v>
      </c>
      <c r="I94" s="534">
        <f t="shared" si="7"/>
        <v>696</v>
      </c>
      <c r="J94" s="459">
        <v>388.2</v>
      </c>
      <c r="K94" s="459">
        <v>388.2</v>
      </c>
      <c r="L94" s="459">
        <v>388.2</v>
      </c>
      <c r="M94" s="471">
        <f t="shared" si="6"/>
        <v>1989.2</v>
      </c>
      <c r="N94" s="28">
        <v>0</v>
      </c>
      <c r="O94" s="26">
        <v>0</v>
      </c>
      <c r="P94" s="26">
        <v>0</v>
      </c>
      <c r="Q94" s="472"/>
    </row>
    <row r="95" spans="1:17" ht="12.75">
      <c r="A95" s="26">
        <v>697</v>
      </c>
      <c r="B95" s="27" t="s">
        <v>126</v>
      </c>
      <c r="C95" s="26">
        <v>1500</v>
      </c>
      <c r="D95" s="186">
        <v>101</v>
      </c>
      <c r="E95" s="186">
        <v>101</v>
      </c>
      <c r="F95" s="367">
        <f>IF(C95&lt;972,E95+44,E95)</f>
        <v>101</v>
      </c>
      <c r="G95" s="367">
        <v>101</v>
      </c>
      <c r="H95" s="367">
        <v>101</v>
      </c>
      <c r="I95" s="534">
        <f t="shared" si="7"/>
        <v>697</v>
      </c>
      <c r="J95" s="459">
        <v>0</v>
      </c>
      <c r="K95" s="459">
        <v>0</v>
      </c>
      <c r="L95" s="459">
        <v>0</v>
      </c>
      <c r="M95" s="471">
        <f t="shared" si="6"/>
        <v>1601</v>
      </c>
      <c r="N95" s="28">
        <v>0</v>
      </c>
      <c r="O95" s="26">
        <v>0</v>
      </c>
      <c r="P95" s="26">
        <v>0</v>
      </c>
      <c r="Q95" s="472"/>
    </row>
    <row r="96" spans="1:17" ht="12.75">
      <c r="A96" s="26">
        <v>698</v>
      </c>
      <c r="B96" s="27" t="s">
        <v>127</v>
      </c>
      <c r="C96" s="26">
        <v>1690</v>
      </c>
      <c r="D96" s="186">
        <v>76</v>
      </c>
      <c r="E96" s="186">
        <v>76</v>
      </c>
      <c r="F96" s="367">
        <f>IF(C96&lt;972,E96+44,E96)</f>
        <v>76</v>
      </c>
      <c r="G96" s="367">
        <v>76</v>
      </c>
      <c r="H96" s="367">
        <v>76</v>
      </c>
      <c r="I96" s="534">
        <f t="shared" si="7"/>
        <v>698</v>
      </c>
      <c r="J96" s="459">
        <v>0</v>
      </c>
      <c r="K96" s="459">
        <v>0</v>
      </c>
      <c r="L96" s="459">
        <v>0</v>
      </c>
      <c r="M96" s="471">
        <f t="shared" si="6"/>
        <v>1766</v>
      </c>
      <c r="N96" s="28">
        <v>0</v>
      </c>
      <c r="O96" s="26">
        <v>0</v>
      </c>
      <c r="P96" s="26">
        <v>0</v>
      </c>
      <c r="Q96" s="472"/>
    </row>
    <row r="97" spans="1:17" ht="12.75">
      <c r="A97" s="26">
        <v>699</v>
      </c>
      <c r="B97" s="27" t="s">
        <v>128</v>
      </c>
      <c r="C97" s="26">
        <v>1550</v>
      </c>
      <c r="D97" s="186">
        <v>94</v>
      </c>
      <c r="E97" s="186">
        <v>94</v>
      </c>
      <c r="F97" s="367">
        <f>IF(C97&lt;972,E97+44,E97)</f>
        <v>94</v>
      </c>
      <c r="G97" s="367">
        <v>94</v>
      </c>
      <c r="H97" s="367">
        <v>94</v>
      </c>
      <c r="I97" s="534">
        <f t="shared" si="7"/>
        <v>699</v>
      </c>
      <c r="J97" s="459">
        <v>0</v>
      </c>
      <c r="K97" s="459">
        <v>0</v>
      </c>
      <c r="L97" s="459">
        <v>0</v>
      </c>
      <c r="M97" s="471">
        <f t="shared" si="6"/>
        <v>1644</v>
      </c>
      <c r="N97" s="28">
        <v>0</v>
      </c>
      <c r="O97" s="26">
        <v>0</v>
      </c>
      <c r="P97" s="26">
        <v>0</v>
      </c>
      <c r="Q97" s="472"/>
    </row>
    <row r="98" spans="1:17" s="537" customFormat="1" ht="12.75">
      <c r="A98" s="473">
        <v>702</v>
      </c>
      <c r="B98" s="474" t="s">
        <v>129</v>
      </c>
      <c r="C98" s="473">
        <v>971</v>
      </c>
      <c r="D98" s="475">
        <v>170</v>
      </c>
      <c r="E98" s="503">
        <v>216</v>
      </c>
      <c r="F98" s="367">
        <v>261</v>
      </c>
      <c r="G98" s="459">
        <v>327</v>
      </c>
      <c r="H98" s="459">
        <v>350</v>
      </c>
      <c r="I98" s="536">
        <f t="shared" si="7"/>
        <v>702</v>
      </c>
      <c r="J98" s="460">
        <v>0</v>
      </c>
      <c r="K98" s="460">
        <v>0</v>
      </c>
      <c r="L98" s="460">
        <v>0</v>
      </c>
      <c r="M98" s="471">
        <f t="shared" si="6"/>
        <v>1298</v>
      </c>
      <c r="N98" s="478">
        <v>0</v>
      </c>
      <c r="O98" s="473">
        <v>0</v>
      </c>
      <c r="P98" s="473">
        <v>0</v>
      </c>
      <c r="Q98" s="479"/>
    </row>
    <row r="99" spans="1:17" ht="12.75">
      <c r="A99" s="26">
        <v>703</v>
      </c>
      <c r="B99" s="27" t="s">
        <v>130</v>
      </c>
      <c r="C99" s="26">
        <v>3429</v>
      </c>
      <c r="D99" s="186">
        <v>0</v>
      </c>
      <c r="E99" s="186">
        <v>0</v>
      </c>
      <c r="F99" s="367">
        <f>IF(C99&lt;972,E99+44,E99)</f>
        <v>0</v>
      </c>
      <c r="G99" s="367">
        <v>0</v>
      </c>
      <c r="H99" s="367">
        <v>0</v>
      </c>
      <c r="I99" s="534">
        <f t="shared" si="7"/>
        <v>703</v>
      </c>
      <c r="J99" s="459">
        <v>0</v>
      </c>
      <c r="K99" s="459">
        <v>0</v>
      </c>
      <c r="L99" s="459">
        <v>0</v>
      </c>
      <c r="M99" s="471">
        <f t="shared" si="6"/>
        <v>3429</v>
      </c>
      <c r="N99" s="28">
        <v>0</v>
      </c>
      <c r="O99" s="26">
        <v>0</v>
      </c>
      <c r="P99" s="26">
        <v>0</v>
      </c>
      <c r="Q99" s="472"/>
    </row>
    <row r="100" spans="1:17" ht="12.75">
      <c r="A100" s="26">
        <v>704</v>
      </c>
      <c r="B100" s="27" t="s">
        <v>131</v>
      </c>
      <c r="C100" s="26">
        <v>1500</v>
      </c>
      <c r="D100" s="186">
        <v>101</v>
      </c>
      <c r="E100" s="186">
        <v>101</v>
      </c>
      <c r="F100" s="367">
        <f>IF(C100&lt;972,E100+44,E100)</f>
        <v>101</v>
      </c>
      <c r="G100" s="367">
        <v>101</v>
      </c>
      <c r="H100" s="367">
        <v>101</v>
      </c>
      <c r="I100" s="534">
        <f t="shared" si="7"/>
        <v>704</v>
      </c>
      <c r="J100" s="459">
        <v>0</v>
      </c>
      <c r="K100" s="459">
        <v>136</v>
      </c>
      <c r="L100" s="459">
        <v>272</v>
      </c>
      <c r="M100" s="471">
        <f t="shared" si="6"/>
        <v>1873</v>
      </c>
      <c r="N100" s="28">
        <v>0</v>
      </c>
      <c r="O100" s="26">
        <v>0</v>
      </c>
      <c r="P100" s="26">
        <v>0</v>
      </c>
      <c r="Q100" s="472"/>
    </row>
    <row r="101" spans="1:17" ht="12.75">
      <c r="A101" s="26">
        <v>705</v>
      </c>
      <c r="B101" s="27" t="s">
        <v>132</v>
      </c>
      <c r="C101" s="26">
        <v>1592</v>
      </c>
      <c r="D101" s="186">
        <v>89</v>
      </c>
      <c r="E101" s="186">
        <v>89</v>
      </c>
      <c r="F101" s="367">
        <f>IF(C101&lt;972,E101+44,E101)</f>
        <v>89</v>
      </c>
      <c r="G101" s="367">
        <v>89</v>
      </c>
      <c r="H101" s="367">
        <v>89</v>
      </c>
      <c r="I101" s="534">
        <f t="shared" si="7"/>
        <v>705</v>
      </c>
      <c r="J101" s="459">
        <v>0</v>
      </c>
      <c r="K101" s="459">
        <v>175</v>
      </c>
      <c r="L101" s="459">
        <v>350</v>
      </c>
      <c r="M101" s="471">
        <f t="shared" si="6"/>
        <v>2031</v>
      </c>
      <c r="N101" s="28">
        <v>0</v>
      </c>
      <c r="O101" s="26">
        <v>0</v>
      </c>
      <c r="P101" s="26">
        <v>0</v>
      </c>
      <c r="Q101" s="472"/>
    </row>
    <row r="102" spans="1:17" ht="12.75">
      <c r="A102" s="26">
        <v>706</v>
      </c>
      <c r="B102" s="27" t="s">
        <v>133</v>
      </c>
      <c r="C102" s="26">
        <v>2482</v>
      </c>
      <c r="D102" s="186">
        <v>0</v>
      </c>
      <c r="E102" s="186">
        <v>0</v>
      </c>
      <c r="F102" s="367">
        <f>IF(C102&lt;972,E102+44,E102)</f>
        <v>0</v>
      </c>
      <c r="G102" s="367">
        <v>0</v>
      </c>
      <c r="H102" s="367">
        <v>0</v>
      </c>
      <c r="I102" s="534">
        <f t="shared" si="7"/>
        <v>706</v>
      </c>
      <c r="J102" s="459">
        <v>0</v>
      </c>
      <c r="K102" s="459">
        <f>D102*0.09</f>
        <v>0</v>
      </c>
      <c r="L102" s="459">
        <v>0</v>
      </c>
      <c r="M102" s="471">
        <f t="shared" si="6"/>
        <v>2482</v>
      </c>
      <c r="N102" s="28">
        <v>0</v>
      </c>
      <c r="O102" s="26">
        <v>0</v>
      </c>
      <c r="P102" s="26">
        <v>0</v>
      </c>
      <c r="Q102" s="472"/>
    </row>
    <row r="103" spans="1:17" ht="12.75">
      <c r="A103" s="26">
        <v>707</v>
      </c>
      <c r="B103" s="27" t="s">
        <v>453</v>
      </c>
      <c r="C103" s="26">
        <v>2913</v>
      </c>
      <c r="D103" s="186"/>
      <c r="E103" s="186"/>
      <c r="F103" s="367"/>
      <c r="G103" s="367">
        <v>0</v>
      </c>
      <c r="H103" s="367">
        <v>0</v>
      </c>
      <c r="I103" s="534">
        <f t="shared" si="7"/>
        <v>707</v>
      </c>
      <c r="J103" s="459"/>
      <c r="K103" s="459"/>
      <c r="L103" s="459">
        <v>466</v>
      </c>
      <c r="M103" s="471">
        <f t="shared" si="6"/>
        <v>3379</v>
      </c>
      <c r="N103" s="28">
        <v>0</v>
      </c>
      <c r="O103" s="26">
        <v>0</v>
      </c>
      <c r="P103" s="26">
        <v>0</v>
      </c>
      <c r="Q103" s="472"/>
    </row>
    <row r="104" spans="1:17" ht="12.75">
      <c r="A104" s="26">
        <v>708</v>
      </c>
      <c r="B104" s="27" t="s">
        <v>134</v>
      </c>
      <c r="C104" s="26">
        <v>3146</v>
      </c>
      <c r="D104" s="186">
        <v>0</v>
      </c>
      <c r="E104" s="186">
        <v>0</v>
      </c>
      <c r="F104" s="367">
        <f aca="true" t="shared" si="8" ref="F104:F127">IF(C104&lt;972,E104+44,E104)</f>
        <v>0</v>
      </c>
      <c r="G104" s="367">
        <v>0</v>
      </c>
      <c r="H104" s="367">
        <v>0</v>
      </c>
      <c r="I104" s="534">
        <f t="shared" si="7"/>
        <v>708</v>
      </c>
      <c r="J104" s="459">
        <v>0</v>
      </c>
      <c r="K104" s="459">
        <v>0</v>
      </c>
      <c r="L104" s="459">
        <v>466</v>
      </c>
      <c r="M104" s="471">
        <f t="shared" si="6"/>
        <v>3612</v>
      </c>
      <c r="N104" s="28">
        <v>0</v>
      </c>
      <c r="O104" s="26">
        <v>0</v>
      </c>
      <c r="P104" s="26">
        <v>0</v>
      </c>
      <c r="Q104" s="472"/>
    </row>
    <row r="105" spans="1:17" ht="12.75">
      <c r="A105" s="26">
        <v>709</v>
      </c>
      <c r="B105" s="27" t="s">
        <v>454</v>
      </c>
      <c r="C105" s="26">
        <v>2913</v>
      </c>
      <c r="D105" s="186">
        <v>0</v>
      </c>
      <c r="E105" s="186">
        <v>0</v>
      </c>
      <c r="F105" s="367">
        <f t="shared" si="8"/>
        <v>0</v>
      </c>
      <c r="G105" s="367">
        <v>0</v>
      </c>
      <c r="H105" s="367">
        <v>0</v>
      </c>
      <c r="I105" s="534">
        <f t="shared" si="7"/>
        <v>709</v>
      </c>
      <c r="J105" s="459">
        <v>0</v>
      </c>
      <c r="K105" s="495">
        <v>233</v>
      </c>
      <c r="L105" s="495">
        <v>466</v>
      </c>
      <c r="M105" s="471">
        <f t="shared" si="6"/>
        <v>3379</v>
      </c>
      <c r="N105" s="28">
        <v>0</v>
      </c>
      <c r="O105" s="26">
        <v>0</v>
      </c>
      <c r="P105" s="26">
        <v>0</v>
      </c>
      <c r="Q105" s="472"/>
    </row>
    <row r="106" spans="1:17" ht="12.75">
      <c r="A106" s="26">
        <v>710</v>
      </c>
      <c r="B106" s="27" t="s">
        <v>135</v>
      </c>
      <c r="C106" s="26">
        <v>2913</v>
      </c>
      <c r="D106" s="186">
        <v>0</v>
      </c>
      <c r="E106" s="186">
        <v>0</v>
      </c>
      <c r="F106" s="367">
        <f t="shared" si="8"/>
        <v>0</v>
      </c>
      <c r="G106" s="367">
        <v>0</v>
      </c>
      <c r="H106" s="367">
        <v>0</v>
      </c>
      <c r="I106" s="534">
        <f t="shared" si="7"/>
        <v>710</v>
      </c>
      <c r="J106" s="459">
        <v>0</v>
      </c>
      <c r="K106" s="495">
        <v>233</v>
      </c>
      <c r="L106" s="495">
        <v>466</v>
      </c>
      <c r="M106" s="471">
        <f t="shared" si="6"/>
        <v>3379</v>
      </c>
      <c r="N106" s="28">
        <v>20</v>
      </c>
      <c r="O106" s="26">
        <v>0</v>
      </c>
      <c r="P106" s="26">
        <v>0</v>
      </c>
      <c r="Q106" s="472"/>
    </row>
    <row r="107" spans="1:17" ht="12.75">
      <c r="A107" s="26">
        <v>711</v>
      </c>
      <c r="B107" s="27" t="s">
        <v>136</v>
      </c>
      <c r="C107" s="26">
        <v>2913</v>
      </c>
      <c r="D107" s="186">
        <v>0</v>
      </c>
      <c r="E107" s="186">
        <v>0</v>
      </c>
      <c r="F107" s="367">
        <f t="shared" si="8"/>
        <v>0</v>
      </c>
      <c r="G107" s="367">
        <v>0</v>
      </c>
      <c r="H107" s="367">
        <v>0</v>
      </c>
      <c r="I107" s="534">
        <f t="shared" si="7"/>
        <v>711</v>
      </c>
      <c r="J107" s="459">
        <v>0</v>
      </c>
      <c r="K107" s="495">
        <v>233</v>
      </c>
      <c r="L107" s="495">
        <v>466</v>
      </c>
      <c r="M107" s="471">
        <f t="shared" si="6"/>
        <v>3379</v>
      </c>
      <c r="N107" s="28">
        <v>0</v>
      </c>
      <c r="O107" s="26">
        <v>0</v>
      </c>
      <c r="P107" s="26">
        <v>0</v>
      </c>
      <c r="Q107" s="472"/>
    </row>
    <row r="108" spans="1:17" ht="12.75">
      <c r="A108" s="26">
        <v>712</v>
      </c>
      <c r="B108" s="27" t="s">
        <v>455</v>
      </c>
      <c r="C108" s="26">
        <v>2913</v>
      </c>
      <c r="D108" s="186">
        <v>0</v>
      </c>
      <c r="E108" s="186">
        <v>0</v>
      </c>
      <c r="F108" s="367">
        <f t="shared" si="8"/>
        <v>0</v>
      </c>
      <c r="G108" s="367">
        <v>0</v>
      </c>
      <c r="H108" s="367">
        <v>0</v>
      </c>
      <c r="I108" s="534">
        <f t="shared" si="7"/>
        <v>712</v>
      </c>
      <c r="J108" s="459">
        <v>0</v>
      </c>
      <c r="K108" s="495">
        <v>233</v>
      </c>
      <c r="L108" s="495">
        <v>466</v>
      </c>
      <c r="M108" s="471">
        <f t="shared" si="6"/>
        <v>3379</v>
      </c>
      <c r="N108" s="28">
        <v>0</v>
      </c>
      <c r="O108" s="26">
        <v>0</v>
      </c>
      <c r="P108" s="26">
        <v>0</v>
      </c>
      <c r="Q108" s="472"/>
    </row>
    <row r="109" spans="1:17" ht="12.75">
      <c r="A109" s="26">
        <v>713</v>
      </c>
      <c r="B109" s="27" t="s">
        <v>137</v>
      </c>
      <c r="C109" s="26">
        <v>2913</v>
      </c>
      <c r="D109" s="186">
        <v>0</v>
      </c>
      <c r="E109" s="186">
        <v>0</v>
      </c>
      <c r="F109" s="367">
        <f t="shared" si="8"/>
        <v>0</v>
      </c>
      <c r="G109" s="367">
        <v>0</v>
      </c>
      <c r="H109" s="367">
        <v>0</v>
      </c>
      <c r="I109" s="534">
        <f t="shared" si="7"/>
        <v>713</v>
      </c>
      <c r="J109" s="459">
        <v>0</v>
      </c>
      <c r="K109" s="495">
        <v>233</v>
      </c>
      <c r="L109" s="495">
        <v>466</v>
      </c>
      <c r="M109" s="471">
        <f t="shared" si="6"/>
        <v>3379</v>
      </c>
      <c r="N109" s="28">
        <v>0</v>
      </c>
      <c r="O109" s="26">
        <v>0</v>
      </c>
      <c r="P109" s="26">
        <v>0</v>
      </c>
      <c r="Q109" s="472"/>
    </row>
    <row r="110" spans="1:17" ht="12.75">
      <c r="A110" s="26">
        <v>714</v>
      </c>
      <c r="B110" s="27" t="s">
        <v>138</v>
      </c>
      <c r="C110" s="26">
        <v>2913</v>
      </c>
      <c r="D110" s="186">
        <v>0</v>
      </c>
      <c r="E110" s="186">
        <v>0</v>
      </c>
      <c r="F110" s="367">
        <f t="shared" si="8"/>
        <v>0</v>
      </c>
      <c r="G110" s="367">
        <v>0</v>
      </c>
      <c r="H110" s="367">
        <v>0</v>
      </c>
      <c r="I110" s="534">
        <f t="shared" si="7"/>
        <v>714</v>
      </c>
      <c r="J110" s="459">
        <v>0</v>
      </c>
      <c r="K110" s="459">
        <f>D110*0.09</f>
        <v>0</v>
      </c>
      <c r="L110" s="459">
        <v>0</v>
      </c>
      <c r="M110" s="471">
        <f t="shared" si="6"/>
        <v>2913</v>
      </c>
      <c r="N110" s="28">
        <v>0</v>
      </c>
      <c r="O110" s="26">
        <v>0</v>
      </c>
      <c r="P110" s="26">
        <v>0</v>
      </c>
      <c r="Q110" s="472"/>
    </row>
    <row r="111" spans="1:17" ht="12.75">
      <c r="A111" s="26">
        <v>715</v>
      </c>
      <c r="B111" s="27" t="s">
        <v>139</v>
      </c>
      <c r="C111" s="26">
        <v>1912</v>
      </c>
      <c r="D111" s="186">
        <v>47</v>
      </c>
      <c r="E111" s="186">
        <v>47</v>
      </c>
      <c r="F111" s="367">
        <f t="shared" si="8"/>
        <v>47</v>
      </c>
      <c r="G111" s="367">
        <v>47</v>
      </c>
      <c r="H111" s="367">
        <v>47</v>
      </c>
      <c r="I111" s="534">
        <f t="shared" si="7"/>
        <v>715</v>
      </c>
      <c r="J111" s="459">
        <v>0</v>
      </c>
      <c r="K111" s="459">
        <v>230</v>
      </c>
      <c r="L111" s="459">
        <v>460</v>
      </c>
      <c r="M111" s="471">
        <f t="shared" si="6"/>
        <v>2419</v>
      </c>
      <c r="N111" s="28">
        <v>0</v>
      </c>
      <c r="O111" s="26">
        <v>42</v>
      </c>
      <c r="P111" s="26">
        <v>0</v>
      </c>
      <c r="Q111" s="472"/>
    </row>
    <row r="112" spans="1:17" ht="12.75">
      <c r="A112" s="26">
        <v>716</v>
      </c>
      <c r="B112" s="27" t="s">
        <v>140</v>
      </c>
      <c r="C112" s="26">
        <v>1942</v>
      </c>
      <c r="D112" s="186">
        <v>43</v>
      </c>
      <c r="E112" s="186">
        <v>43</v>
      </c>
      <c r="F112" s="367">
        <f t="shared" si="8"/>
        <v>43</v>
      </c>
      <c r="G112" s="367">
        <v>43</v>
      </c>
      <c r="H112" s="367">
        <v>43</v>
      </c>
      <c r="I112" s="534">
        <f t="shared" si="7"/>
        <v>716</v>
      </c>
      <c r="J112" s="459">
        <v>0</v>
      </c>
      <c r="K112" s="496">
        <v>194</v>
      </c>
      <c r="L112" s="496">
        <v>388</v>
      </c>
      <c r="M112" s="471">
        <f t="shared" si="6"/>
        <v>2373</v>
      </c>
      <c r="N112" s="28">
        <v>0</v>
      </c>
      <c r="O112" s="26">
        <v>0</v>
      </c>
      <c r="P112" s="26">
        <v>0</v>
      </c>
      <c r="Q112" s="480">
        <v>782</v>
      </c>
    </row>
    <row r="113" spans="1:17" ht="12.75">
      <c r="A113" s="26">
        <v>717</v>
      </c>
      <c r="B113" s="27" t="s">
        <v>456</v>
      </c>
      <c r="C113" s="26">
        <v>2100</v>
      </c>
      <c r="D113" s="186">
        <v>23</v>
      </c>
      <c r="E113" s="186">
        <v>23</v>
      </c>
      <c r="F113" s="367">
        <f t="shared" si="8"/>
        <v>23</v>
      </c>
      <c r="G113" s="367">
        <v>23</v>
      </c>
      <c r="H113" s="367">
        <v>23</v>
      </c>
      <c r="I113" s="534">
        <f t="shared" si="7"/>
        <v>717</v>
      </c>
      <c r="J113" s="459">
        <v>0</v>
      </c>
      <c r="K113" s="496">
        <v>194</v>
      </c>
      <c r="L113" s="496">
        <v>388</v>
      </c>
      <c r="M113" s="471">
        <f t="shared" si="6"/>
        <v>2511</v>
      </c>
      <c r="N113" s="28">
        <v>150</v>
      </c>
      <c r="O113" s="26">
        <v>0</v>
      </c>
      <c r="P113" s="26">
        <v>0</v>
      </c>
      <c r="Q113" s="472"/>
    </row>
    <row r="114" spans="1:17" ht="12.75">
      <c r="A114" s="26">
        <v>718</v>
      </c>
      <c r="B114" s="27" t="s">
        <v>141</v>
      </c>
      <c r="C114" s="26">
        <v>1942</v>
      </c>
      <c r="D114" s="186">
        <v>43</v>
      </c>
      <c r="E114" s="186">
        <v>43</v>
      </c>
      <c r="F114" s="367">
        <f t="shared" si="8"/>
        <v>43</v>
      </c>
      <c r="G114" s="367">
        <v>43</v>
      </c>
      <c r="H114" s="367">
        <v>43</v>
      </c>
      <c r="I114" s="534">
        <f t="shared" si="7"/>
        <v>718</v>
      </c>
      <c r="J114" s="459">
        <v>0</v>
      </c>
      <c r="K114" s="496">
        <v>194</v>
      </c>
      <c r="L114" s="496">
        <v>388</v>
      </c>
      <c r="M114" s="471">
        <f t="shared" si="6"/>
        <v>2373</v>
      </c>
      <c r="N114" s="28">
        <v>17</v>
      </c>
      <c r="O114" s="26">
        <v>0</v>
      </c>
      <c r="P114" s="26">
        <v>0</v>
      </c>
      <c r="Q114" s="472"/>
    </row>
    <row r="115" spans="1:17" ht="12.75">
      <c r="A115" s="26">
        <v>719</v>
      </c>
      <c r="B115" s="27" t="s">
        <v>142</v>
      </c>
      <c r="C115" s="26">
        <v>1782</v>
      </c>
      <c r="D115" s="186">
        <v>64</v>
      </c>
      <c r="E115" s="186">
        <v>64</v>
      </c>
      <c r="F115" s="367">
        <f t="shared" si="8"/>
        <v>64</v>
      </c>
      <c r="G115" s="367">
        <v>64</v>
      </c>
      <c r="H115" s="367">
        <v>64</v>
      </c>
      <c r="I115" s="534">
        <f t="shared" si="7"/>
        <v>719</v>
      </c>
      <c r="J115" s="459">
        <v>0</v>
      </c>
      <c r="K115" s="496">
        <v>175</v>
      </c>
      <c r="L115" s="496">
        <v>349</v>
      </c>
      <c r="M115" s="471">
        <f t="shared" si="6"/>
        <v>2195</v>
      </c>
      <c r="N115" s="28">
        <v>0</v>
      </c>
      <c r="O115" s="26">
        <v>0</v>
      </c>
      <c r="P115" s="26">
        <v>0</v>
      </c>
      <c r="Q115" s="480">
        <v>782</v>
      </c>
    </row>
    <row r="116" spans="1:17" ht="12.75">
      <c r="A116" s="26">
        <v>720</v>
      </c>
      <c r="B116" s="27" t="s">
        <v>143</v>
      </c>
      <c r="C116" s="26">
        <v>1782</v>
      </c>
      <c r="D116" s="186">
        <v>64</v>
      </c>
      <c r="E116" s="186">
        <v>64</v>
      </c>
      <c r="F116" s="367">
        <f t="shared" si="8"/>
        <v>64</v>
      </c>
      <c r="G116" s="367">
        <v>64</v>
      </c>
      <c r="H116" s="367">
        <v>64</v>
      </c>
      <c r="I116" s="534">
        <f t="shared" si="7"/>
        <v>720</v>
      </c>
      <c r="J116" s="459">
        <v>0</v>
      </c>
      <c r="K116" s="496">
        <v>175</v>
      </c>
      <c r="L116" s="496">
        <v>349</v>
      </c>
      <c r="M116" s="471">
        <f t="shared" si="6"/>
        <v>2195</v>
      </c>
      <c r="N116" s="28">
        <v>17</v>
      </c>
      <c r="O116" s="26">
        <v>0</v>
      </c>
      <c r="P116" s="26">
        <v>0</v>
      </c>
      <c r="Q116" s="472"/>
    </row>
    <row r="117" spans="1:17" ht="12.75">
      <c r="A117" s="26">
        <v>721</v>
      </c>
      <c r="B117" s="27" t="s">
        <v>144</v>
      </c>
      <c r="C117" s="26">
        <v>1942</v>
      </c>
      <c r="D117" s="186">
        <v>43</v>
      </c>
      <c r="E117" s="186">
        <v>43</v>
      </c>
      <c r="F117" s="367">
        <f t="shared" si="8"/>
        <v>43</v>
      </c>
      <c r="G117" s="367">
        <v>43</v>
      </c>
      <c r="H117" s="367">
        <v>43</v>
      </c>
      <c r="I117" s="534">
        <f t="shared" si="7"/>
        <v>721</v>
      </c>
      <c r="J117" s="459">
        <v>0</v>
      </c>
      <c r="K117" s="496">
        <v>194</v>
      </c>
      <c r="L117" s="496">
        <v>388</v>
      </c>
      <c r="M117" s="471">
        <f t="shared" si="6"/>
        <v>2373</v>
      </c>
      <c r="N117" s="28">
        <v>150</v>
      </c>
      <c r="O117" s="26">
        <v>0</v>
      </c>
      <c r="P117" s="26">
        <v>0</v>
      </c>
      <c r="Q117" s="472"/>
    </row>
    <row r="118" spans="1:17" ht="12.75">
      <c r="A118" s="26">
        <v>722</v>
      </c>
      <c r="B118" s="27" t="s">
        <v>145</v>
      </c>
      <c r="C118" s="26">
        <v>1692</v>
      </c>
      <c r="D118" s="186">
        <v>76</v>
      </c>
      <c r="E118" s="186">
        <v>76</v>
      </c>
      <c r="F118" s="367">
        <f t="shared" si="8"/>
        <v>76</v>
      </c>
      <c r="G118" s="367">
        <v>76</v>
      </c>
      <c r="H118" s="367">
        <v>76</v>
      </c>
      <c r="I118" s="534">
        <f t="shared" si="7"/>
        <v>722</v>
      </c>
      <c r="J118" s="459">
        <v>0</v>
      </c>
      <c r="K118" s="496">
        <v>136</v>
      </c>
      <c r="L118" s="496">
        <v>272</v>
      </c>
      <c r="M118" s="471">
        <f t="shared" si="6"/>
        <v>2040</v>
      </c>
      <c r="N118" s="28">
        <v>0</v>
      </c>
      <c r="O118" s="26">
        <v>0</v>
      </c>
      <c r="P118" s="26">
        <v>0</v>
      </c>
      <c r="Q118" s="480">
        <v>744</v>
      </c>
    </row>
    <row r="119" spans="1:17" ht="12.75">
      <c r="A119" s="26">
        <v>723</v>
      </c>
      <c r="B119" s="27" t="s">
        <v>146</v>
      </c>
      <c r="C119" s="26">
        <v>1700</v>
      </c>
      <c r="D119" s="186">
        <v>75</v>
      </c>
      <c r="E119" s="186">
        <v>75</v>
      </c>
      <c r="F119" s="367">
        <f t="shared" si="8"/>
        <v>75</v>
      </c>
      <c r="G119" s="367">
        <v>75</v>
      </c>
      <c r="H119" s="367">
        <v>75</v>
      </c>
      <c r="I119" s="534">
        <f t="shared" si="7"/>
        <v>723</v>
      </c>
      <c r="J119" s="459">
        <v>0</v>
      </c>
      <c r="K119" s="496">
        <v>116</v>
      </c>
      <c r="L119" s="496">
        <v>233</v>
      </c>
      <c r="M119" s="471">
        <f t="shared" si="6"/>
        <v>2008</v>
      </c>
      <c r="N119" s="28">
        <v>0</v>
      </c>
      <c r="O119" s="26">
        <v>0</v>
      </c>
      <c r="P119" s="26">
        <v>0</v>
      </c>
      <c r="Q119" s="480">
        <v>769</v>
      </c>
    </row>
    <row r="120" spans="1:17" ht="12.75">
      <c r="A120" s="26">
        <v>724</v>
      </c>
      <c r="B120" s="27" t="s">
        <v>147</v>
      </c>
      <c r="C120" s="26">
        <v>1942</v>
      </c>
      <c r="D120" s="186">
        <v>43</v>
      </c>
      <c r="E120" s="186">
        <v>43</v>
      </c>
      <c r="F120" s="367">
        <f t="shared" si="8"/>
        <v>43</v>
      </c>
      <c r="G120" s="367">
        <v>43</v>
      </c>
      <c r="H120" s="367">
        <v>43</v>
      </c>
      <c r="I120" s="534">
        <f t="shared" si="7"/>
        <v>724</v>
      </c>
      <c r="J120" s="459">
        <v>0</v>
      </c>
      <c r="K120" s="459">
        <v>233</v>
      </c>
      <c r="L120" s="459">
        <v>466</v>
      </c>
      <c r="M120" s="471">
        <f t="shared" si="6"/>
        <v>2451</v>
      </c>
      <c r="N120" s="28">
        <v>150</v>
      </c>
      <c r="O120" s="26">
        <v>0</v>
      </c>
      <c r="P120" s="26">
        <v>0</v>
      </c>
      <c r="Q120" s="472"/>
    </row>
    <row r="121" spans="1:17" ht="12.75">
      <c r="A121" s="26">
        <v>725</v>
      </c>
      <c r="B121" s="27" t="s">
        <v>148</v>
      </c>
      <c r="C121" s="26">
        <v>1592</v>
      </c>
      <c r="D121" s="186">
        <v>89</v>
      </c>
      <c r="E121" s="186">
        <v>89</v>
      </c>
      <c r="F121" s="367">
        <f t="shared" si="8"/>
        <v>89</v>
      </c>
      <c r="G121" s="367">
        <v>89</v>
      </c>
      <c r="H121" s="367">
        <v>89</v>
      </c>
      <c r="I121" s="534">
        <f t="shared" si="7"/>
        <v>725</v>
      </c>
      <c r="J121" s="459">
        <v>0</v>
      </c>
      <c r="K121" s="459">
        <v>116</v>
      </c>
      <c r="L121" s="459">
        <v>233</v>
      </c>
      <c r="M121" s="471">
        <f t="shared" si="6"/>
        <v>1914</v>
      </c>
      <c r="N121" s="28">
        <v>0</v>
      </c>
      <c r="O121" s="26">
        <v>0</v>
      </c>
      <c r="P121" s="26">
        <v>0</v>
      </c>
      <c r="Q121" s="480">
        <v>738</v>
      </c>
    </row>
    <row r="122" spans="1:17" ht="12.75">
      <c r="A122" s="26">
        <v>726</v>
      </c>
      <c r="B122" s="27" t="s">
        <v>149</v>
      </c>
      <c r="C122" s="26">
        <v>1500</v>
      </c>
      <c r="D122" s="186">
        <v>101</v>
      </c>
      <c r="E122" s="186">
        <v>101</v>
      </c>
      <c r="F122" s="367">
        <f t="shared" si="8"/>
        <v>101</v>
      </c>
      <c r="G122" s="367">
        <v>101</v>
      </c>
      <c r="H122" s="367">
        <v>101</v>
      </c>
      <c r="I122" s="534">
        <f t="shared" si="7"/>
        <v>726</v>
      </c>
      <c r="J122" s="459">
        <v>0</v>
      </c>
      <c r="K122" s="459">
        <v>0</v>
      </c>
      <c r="L122" s="459">
        <v>0</v>
      </c>
      <c r="M122" s="471">
        <f t="shared" si="6"/>
        <v>1601</v>
      </c>
      <c r="N122" s="28">
        <v>150</v>
      </c>
      <c r="O122" s="26">
        <v>0</v>
      </c>
      <c r="P122" s="26">
        <v>0</v>
      </c>
      <c r="Q122" s="472"/>
    </row>
    <row r="123" spans="1:17" ht="12.75">
      <c r="A123" s="473">
        <v>727</v>
      </c>
      <c r="B123" s="538" t="s">
        <v>150</v>
      </c>
      <c r="C123" s="539">
        <v>1600</v>
      </c>
      <c r="D123" s="540">
        <v>88</v>
      </c>
      <c r="E123" s="540">
        <v>88</v>
      </c>
      <c r="F123" s="496">
        <f t="shared" si="8"/>
        <v>88</v>
      </c>
      <c r="G123" s="496">
        <v>88</v>
      </c>
      <c r="H123" s="496">
        <v>88</v>
      </c>
      <c r="I123" s="541">
        <f t="shared" si="7"/>
        <v>727</v>
      </c>
      <c r="J123" s="496">
        <v>0</v>
      </c>
      <c r="K123" s="496">
        <v>116</v>
      </c>
      <c r="L123" s="496">
        <v>233</v>
      </c>
      <c r="M123" s="471">
        <f t="shared" si="6"/>
        <v>1921</v>
      </c>
      <c r="N123" s="478">
        <v>0</v>
      </c>
      <c r="O123" s="473">
        <v>0</v>
      </c>
      <c r="P123" s="473">
        <v>0</v>
      </c>
      <c r="Q123" s="480">
        <v>738</v>
      </c>
    </row>
    <row r="124" spans="1:17" ht="12.75">
      <c r="A124" s="26">
        <v>728</v>
      </c>
      <c r="B124" s="27" t="s">
        <v>151</v>
      </c>
      <c r="C124" s="26">
        <v>1360</v>
      </c>
      <c r="D124" s="186">
        <v>120</v>
      </c>
      <c r="E124" s="186">
        <v>120</v>
      </c>
      <c r="F124" s="367">
        <f t="shared" si="8"/>
        <v>120</v>
      </c>
      <c r="G124" s="367">
        <v>120</v>
      </c>
      <c r="H124" s="367">
        <v>120</v>
      </c>
      <c r="I124" s="534">
        <f t="shared" si="7"/>
        <v>728</v>
      </c>
      <c r="J124" s="459">
        <v>0</v>
      </c>
      <c r="K124" s="459">
        <v>116</v>
      </c>
      <c r="L124" s="459">
        <v>233</v>
      </c>
      <c r="M124" s="471">
        <f t="shared" si="6"/>
        <v>1713</v>
      </c>
      <c r="N124" s="28">
        <v>17</v>
      </c>
      <c r="O124" s="26">
        <v>0</v>
      </c>
      <c r="P124" s="26">
        <v>0</v>
      </c>
      <c r="Q124" s="472"/>
    </row>
    <row r="125" spans="1:17" ht="12.75">
      <c r="A125" s="26">
        <v>729</v>
      </c>
      <c r="B125" s="27" t="s">
        <v>152</v>
      </c>
      <c r="C125" s="26">
        <v>1692</v>
      </c>
      <c r="D125" s="186">
        <v>76</v>
      </c>
      <c r="E125" s="186">
        <v>76</v>
      </c>
      <c r="F125" s="367">
        <f t="shared" si="8"/>
        <v>76</v>
      </c>
      <c r="G125" s="367">
        <v>76</v>
      </c>
      <c r="H125" s="367">
        <v>76</v>
      </c>
      <c r="I125" s="534">
        <f t="shared" si="7"/>
        <v>729</v>
      </c>
      <c r="J125" s="459">
        <v>0</v>
      </c>
      <c r="K125" s="496">
        <v>194</v>
      </c>
      <c r="L125" s="496">
        <v>388</v>
      </c>
      <c r="M125" s="471">
        <f t="shared" si="6"/>
        <v>2156</v>
      </c>
      <c r="N125" s="28">
        <v>0</v>
      </c>
      <c r="O125" s="26">
        <v>0</v>
      </c>
      <c r="P125" s="26">
        <v>0</v>
      </c>
      <c r="Q125" s="472"/>
    </row>
    <row r="126" spans="1:17" ht="12.75">
      <c r="A126" s="26">
        <v>730</v>
      </c>
      <c r="B126" s="27" t="s">
        <v>153</v>
      </c>
      <c r="C126" s="26">
        <v>1700</v>
      </c>
      <c r="D126" s="186">
        <v>75</v>
      </c>
      <c r="E126" s="186">
        <v>75</v>
      </c>
      <c r="F126" s="367">
        <f t="shared" si="8"/>
        <v>75</v>
      </c>
      <c r="G126" s="367">
        <v>75</v>
      </c>
      <c r="H126" s="367">
        <v>75</v>
      </c>
      <c r="I126" s="534">
        <f t="shared" si="7"/>
        <v>730</v>
      </c>
      <c r="J126" s="459">
        <v>0</v>
      </c>
      <c r="K126" s="496">
        <v>194</v>
      </c>
      <c r="L126" s="496">
        <v>388</v>
      </c>
      <c r="M126" s="471">
        <f t="shared" si="6"/>
        <v>2163</v>
      </c>
      <c r="N126" s="28">
        <v>0</v>
      </c>
      <c r="O126" s="26">
        <v>0</v>
      </c>
      <c r="P126" s="26">
        <v>0</v>
      </c>
      <c r="Q126" s="472"/>
    </row>
    <row r="127" spans="1:17" ht="12.75">
      <c r="A127" s="26">
        <v>731</v>
      </c>
      <c r="B127" s="27" t="s">
        <v>154</v>
      </c>
      <c r="C127" s="26">
        <v>1592</v>
      </c>
      <c r="D127" s="186">
        <v>89</v>
      </c>
      <c r="E127" s="186">
        <v>89</v>
      </c>
      <c r="F127" s="367">
        <f t="shared" si="8"/>
        <v>89</v>
      </c>
      <c r="G127" s="367">
        <v>89</v>
      </c>
      <c r="H127" s="367">
        <v>89</v>
      </c>
      <c r="I127" s="534">
        <f t="shared" si="7"/>
        <v>731</v>
      </c>
      <c r="J127" s="459">
        <v>0</v>
      </c>
      <c r="K127" s="496">
        <v>175</v>
      </c>
      <c r="L127" s="496">
        <v>349</v>
      </c>
      <c r="M127" s="471">
        <f t="shared" si="6"/>
        <v>2030</v>
      </c>
      <c r="N127" s="28">
        <v>0</v>
      </c>
      <c r="O127" s="26">
        <v>0</v>
      </c>
      <c r="P127" s="26">
        <v>0</v>
      </c>
      <c r="Q127" s="472"/>
    </row>
    <row r="128" spans="1:17" ht="12.75">
      <c r="A128" s="26">
        <v>732</v>
      </c>
      <c r="B128" s="27" t="s">
        <v>155</v>
      </c>
      <c r="C128" s="26">
        <v>971</v>
      </c>
      <c r="D128" s="186">
        <v>170</v>
      </c>
      <c r="E128" s="535">
        <v>216</v>
      </c>
      <c r="F128" s="367">
        <v>261</v>
      </c>
      <c r="G128" s="459">
        <v>327</v>
      </c>
      <c r="H128" s="459">
        <v>350</v>
      </c>
      <c r="I128" s="534">
        <f t="shared" si="7"/>
        <v>732</v>
      </c>
      <c r="J128" s="459">
        <v>0</v>
      </c>
      <c r="K128" s="459">
        <v>0</v>
      </c>
      <c r="L128" s="459">
        <v>0</v>
      </c>
      <c r="M128" s="471">
        <f t="shared" si="6"/>
        <v>1298</v>
      </c>
      <c r="N128" s="28">
        <v>150</v>
      </c>
      <c r="O128" s="26">
        <v>0</v>
      </c>
      <c r="P128" s="26">
        <v>0</v>
      </c>
      <c r="Q128" s="472"/>
    </row>
    <row r="129" spans="1:17" ht="12.75">
      <c r="A129" s="26">
        <v>733</v>
      </c>
      <c r="B129" s="27" t="s">
        <v>156</v>
      </c>
      <c r="C129" s="26">
        <v>1150</v>
      </c>
      <c r="D129" s="186">
        <v>147</v>
      </c>
      <c r="E129" s="186">
        <v>147</v>
      </c>
      <c r="F129" s="367">
        <f>IF(C129&lt;972,E129+44,E129)</f>
        <v>147</v>
      </c>
      <c r="G129" s="367">
        <v>147</v>
      </c>
      <c r="H129" s="367">
        <v>147</v>
      </c>
      <c r="I129" s="534">
        <f t="shared" si="7"/>
        <v>733</v>
      </c>
      <c r="J129" s="459">
        <v>0</v>
      </c>
      <c r="K129" s="459">
        <v>0</v>
      </c>
      <c r="L129" s="459">
        <v>0</v>
      </c>
      <c r="M129" s="471">
        <f t="shared" si="6"/>
        <v>1297</v>
      </c>
      <c r="N129" s="28">
        <v>0</v>
      </c>
      <c r="O129" s="26">
        <v>0</v>
      </c>
      <c r="P129" s="26">
        <v>0</v>
      </c>
      <c r="Q129" s="472"/>
    </row>
    <row r="130" spans="1:17" ht="12.75">
      <c r="A130" s="26">
        <v>734</v>
      </c>
      <c r="B130" s="27" t="s">
        <v>157</v>
      </c>
      <c r="C130" s="26">
        <v>1500</v>
      </c>
      <c r="D130" s="186">
        <v>101</v>
      </c>
      <c r="E130" s="186">
        <v>101</v>
      </c>
      <c r="F130" s="367">
        <f>IF(C130&lt;972,E130+44,E130)</f>
        <v>101</v>
      </c>
      <c r="G130" s="367">
        <v>101</v>
      </c>
      <c r="H130" s="367">
        <v>101</v>
      </c>
      <c r="I130" s="534">
        <f t="shared" si="7"/>
        <v>734</v>
      </c>
      <c r="J130" s="459">
        <v>0</v>
      </c>
      <c r="K130" s="459">
        <v>0</v>
      </c>
      <c r="L130" s="459">
        <v>0</v>
      </c>
      <c r="M130" s="471">
        <f t="shared" si="6"/>
        <v>1601</v>
      </c>
      <c r="N130" s="28">
        <v>150</v>
      </c>
      <c r="O130" s="26">
        <v>0</v>
      </c>
      <c r="P130" s="26">
        <v>0</v>
      </c>
      <c r="Q130" s="472"/>
    </row>
    <row r="131" spans="1:17" ht="12.75">
      <c r="A131" s="26">
        <v>735</v>
      </c>
      <c r="B131" s="27" t="s">
        <v>158</v>
      </c>
      <c r="C131" s="26">
        <v>971</v>
      </c>
      <c r="D131" s="186">
        <v>170</v>
      </c>
      <c r="E131" s="535">
        <v>216</v>
      </c>
      <c r="F131" s="367">
        <v>261</v>
      </c>
      <c r="G131" s="459">
        <v>327</v>
      </c>
      <c r="H131" s="459">
        <v>350</v>
      </c>
      <c r="I131" s="534">
        <f t="shared" si="7"/>
        <v>735</v>
      </c>
      <c r="J131" s="459">
        <v>0</v>
      </c>
      <c r="K131" s="459">
        <v>0</v>
      </c>
      <c r="L131" s="459">
        <v>0</v>
      </c>
      <c r="M131" s="471">
        <f aca="true" t="shared" si="9" ref="M131:M194">C131+G131+L131</f>
        <v>1298</v>
      </c>
      <c r="N131" s="28">
        <v>150</v>
      </c>
      <c r="O131" s="26">
        <v>0</v>
      </c>
      <c r="P131" s="26">
        <v>0</v>
      </c>
      <c r="Q131" s="472"/>
    </row>
    <row r="132" spans="1:17" ht="12.75">
      <c r="A132" s="26">
        <v>736</v>
      </c>
      <c r="B132" s="27" t="s">
        <v>159</v>
      </c>
      <c r="C132" s="26">
        <v>1600</v>
      </c>
      <c r="D132" s="186">
        <v>88</v>
      </c>
      <c r="E132" s="186">
        <v>88</v>
      </c>
      <c r="F132" s="367">
        <f>IF(C132&lt;972,E132+44,E132)</f>
        <v>88</v>
      </c>
      <c r="G132" s="367">
        <v>88</v>
      </c>
      <c r="H132" s="367">
        <v>88</v>
      </c>
      <c r="I132" s="534">
        <f t="shared" si="7"/>
        <v>736</v>
      </c>
      <c r="J132" s="459">
        <v>0</v>
      </c>
      <c r="K132" s="496">
        <v>194</v>
      </c>
      <c r="L132" s="496">
        <v>388</v>
      </c>
      <c r="M132" s="471">
        <f t="shared" si="9"/>
        <v>2076</v>
      </c>
      <c r="N132" s="28">
        <v>0</v>
      </c>
      <c r="O132" s="26">
        <v>0</v>
      </c>
      <c r="P132" s="26">
        <v>0</v>
      </c>
      <c r="Q132" s="472"/>
    </row>
    <row r="133" spans="1:17" ht="12.75">
      <c r="A133" s="26">
        <v>737</v>
      </c>
      <c r="B133" s="27" t="s">
        <v>160</v>
      </c>
      <c r="C133" s="26">
        <v>971</v>
      </c>
      <c r="D133" s="186">
        <v>170</v>
      </c>
      <c r="E133" s="535">
        <v>216</v>
      </c>
      <c r="F133" s="367">
        <v>261</v>
      </c>
      <c r="G133" s="459">
        <v>327</v>
      </c>
      <c r="H133" s="459">
        <v>350</v>
      </c>
      <c r="I133" s="534">
        <f t="shared" si="7"/>
        <v>737</v>
      </c>
      <c r="J133" s="459">
        <v>0</v>
      </c>
      <c r="K133" s="459">
        <v>0</v>
      </c>
      <c r="L133" s="459">
        <v>0</v>
      </c>
      <c r="M133" s="471">
        <f t="shared" si="9"/>
        <v>1298</v>
      </c>
      <c r="N133" s="28">
        <v>150</v>
      </c>
      <c r="O133" s="26">
        <v>0</v>
      </c>
      <c r="P133" s="26">
        <v>0</v>
      </c>
      <c r="Q133" s="472"/>
    </row>
    <row r="134" spans="1:17" ht="12.75">
      <c r="A134" s="26">
        <v>738</v>
      </c>
      <c r="B134" s="27" t="s">
        <v>161</v>
      </c>
      <c r="C134" s="26">
        <v>971</v>
      </c>
      <c r="D134" s="186">
        <v>170</v>
      </c>
      <c r="E134" s="535">
        <v>216</v>
      </c>
      <c r="F134" s="367">
        <v>261</v>
      </c>
      <c r="G134" s="459">
        <v>327</v>
      </c>
      <c r="H134" s="459">
        <v>350</v>
      </c>
      <c r="I134" s="534">
        <f aca="true" t="shared" si="10" ref="I134:I197">A134</f>
        <v>738</v>
      </c>
      <c r="J134" s="459">
        <v>0</v>
      </c>
      <c r="K134" s="459">
        <v>0</v>
      </c>
      <c r="L134" s="459">
        <v>0</v>
      </c>
      <c r="M134" s="471">
        <f t="shared" si="9"/>
        <v>1298</v>
      </c>
      <c r="N134" s="28">
        <v>17</v>
      </c>
      <c r="O134" s="26">
        <v>0</v>
      </c>
      <c r="P134" s="26">
        <v>0</v>
      </c>
      <c r="Q134" s="472"/>
    </row>
    <row r="135" spans="1:17" ht="12.75">
      <c r="A135" s="26">
        <v>739</v>
      </c>
      <c r="B135" s="27" t="s">
        <v>162</v>
      </c>
      <c r="C135" s="26">
        <v>971</v>
      </c>
      <c r="D135" s="186">
        <v>170</v>
      </c>
      <c r="E135" s="535">
        <v>216</v>
      </c>
      <c r="F135" s="367">
        <v>261</v>
      </c>
      <c r="G135" s="459">
        <v>327</v>
      </c>
      <c r="H135" s="459">
        <v>350</v>
      </c>
      <c r="I135" s="534">
        <f t="shared" si="10"/>
        <v>739</v>
      </c>
      <c r="J135" s="459">
        <v>0</v>
      </c>
      <c r="K135" s="459">
        <v>0</v>
      </c>
      <c r="L135" s="459">
        <v>0</v>
      </c>
      <c r="M135" s="471">
        <f t="shared" si="9"/>
        <v>1298</v>
      </c>
      <c r="N135" s="28">
        <v>150</v>
      </c>
      <c r="O135" s="26">
        <v>0</v>
      </c>
      <c r="P135" s="26">
        <v>0</v>
      </c>
      <c r="Q135" s="472"/>
    </row>
    <row r="136" spans="1:17" ht="12.75">
      <c r="A136" s="26">
        <v>740</v>
      </c>
      <c r="B136" s="27" t="s">
        <v>163</v>
      </c>
      <c r="C136" s="26">
        <v>971</v>
      </c>
      <c r="D136" s="186">
        <v>170</v>
      </c>
      <c r="E136" s="535">
        <v>216</v>
      </c>
      <c r="F136" s="367">
        <v>261</v>
      </c>
      <c r="G136" s="459">
        <v>327</v>
      </c>
      <c r="H136" s="459">
        <v>350</v>
      </c>
      <c r="I136" s="534">
        <f t="shared" si="10"/>
        <v>740</v>
      </c>
      <c r="J136" s="459">
        <v>0</v>
      </c>
      <c r="K136" s="459">
        <v>0</v>
      </c>
      <c r="L136" s="459">
        <v>0</v>
      </c>
      <c r="M136" s="471">
        <f t="shared" si="9"/>
        <v>1298</v>
      </c>
      <c r="N136" s="28">
        <v>150</v>
      </c>
      <c r="O136" s="26">
        <v>0</v>
      </c>
      <c r="P136" s="26">
        <v>0</v>
      </c>
      <c r="Q136" s="472"/>
    </row>
    <row r="137" spans="1:17" ht="12.75">
      <c r="A137" s="26">
        <v>741</v>
      </c>
      <c r="B137" s="27" t="s">
        <v>164</v>
      </c>
      <c r="C137" s="26">
        <v>1300</v>
      </c>
      <c r="D137" s="186">
        <v>127</v>
      </c>
      <c r="E137" s="186">
        <v>127</v>
      </c>
      <c r="F137" s="367">
        <f>IF(C137&lt;972,E137+44,E137)</f>
        <v>127</v>
      </c>
      <c r="G137" s="367">
        <v>127</v>
      </c>
      <c r="H137" s="367">
        <v>127</v>
      </c>
      <c r="I137" s="534">
        <f t="shared" si="10"/>
        <v>741</v>
      </c>
      <c r="J137" s="459">
        <v>0</v>
      </c>
      <c r="K137" s="496">
        <v>116</v>
      </c>
      <c r="L137" s="496">
        <v>233</v>
      </c>
      <c r="M137" s="471">
        <f t="shared" si="9"/>
        <v>1660</v>
      </c>
      <c r="N137" s="28">
        <v>0</v>
      </c>
      <c r="O137" s="26">
        <v>0</v>
      </c>
      <c r="P137" s="26">
        <v>0</v>
      </c>
      <c r="Q137" s="472"/>
    </row>
    <row r="138" spans="1:17" ht="12.75">
      <c r="A138" s="26">
        <v>742</v>
      </c>
      <c r="B138" s="27" t="s">
        <v>165</v>
      </c>
      <c r="C138" s="26">
        <v>971</v>
      </c>
      <c r="D138" s="186">
        <v>170</v>
      </c>
      <c r="E138" s="535">
        <v>216</v>
      </c>
      <c r="F138" s="367">
        <v>261</v>
      </c>
      <c r="G138" s="459">
        <v>327</v>
      </c>
      <c r="H138" s="459">
        <v>350</v>
      </c>
      <c r="I138" s="534">
        <f t="shared" si="10"/>
        <v>742</v>
      </c>
      <c r="J138" s="459">
        <v>0</v>
      </c>
      <c r="K138" s="459">
        <v>0</v>
      </c>
      <c r="L138" s="459">
        <v>0</v>
      </c>
      <c r="M138" s="471">
        <f t="shared" si="9"/>
        <v>1298</v>
      </c>
      <c r="N138" s="28">
        <v>150</v>
      </c>
      <c r="O138" s="26">
        <v>0</v>
      </c>
      <c r="P138" s="26">
        <v>0</v>
      </c>
      <c r="Q138" s="472"/>
    </row>
    <row r="139" spans="1:17" ht="12.75">
      <c r="A139" s="30">
        <v>743</v>
      </c>
      <c r="B139" s="31" t="s">
        <v>166</v>
      </c>
      <c r="C139" s="30">
        <v>971</v>
      </c>
      <c r="D139" s="186">
        <v>170</v>
      </c>
      <c r="E139" s="535">
        <v>216</v>
      </c>
      <c r="F139" s="367">
        <v>261</v>
      </c>
      <c r="G139" s="459">
        <v>327</v>
      </c>
      <c r="H139" s="459">
        <v>350</v>
      </c>
      <c r="I139" s="534">
        <f t="shared" si="10"/>
        <v>743</v>
      </c>
      <c r="J139" s="459">
        <v>0</v>
      </c>
      <c r="K139" s="459">
        <v>0</v>
      </c>
      <c r="L139" s="459">
        <v>0</v>
      </c>
      <c r="M139" s="471">
        <f t="shared" si="9"/>
        <v>1298</v>
      </c>
      <c r="N139" s="32">
        <v>17</v>
      </c>
      <c r="O139" s="30">
        <v>0</v>
      </c>
      <c r="P139" s="30">
        <v>0</v>
      </c>
      <c r="Q139" s="472"/>
    </row>
    <row r="140" spans="1:17" ht="12.75">
      <c r="A140" s="26">
        <v>744</v>
      </c>
      <c r="B140" s="27" t="s">
        <v>167</v>
      </c>
      <c r="C140" s="26">
        <v>1400</v>
      </c>
      <c r="D140" s="186">
        <v>114</v>
      </c>
      <c r="E140" s="186">
        <v>114</v>
      </c>
      <c r="F140" s="367">
        <f>IF(C140&lt;972,E140+44,E140)</f>
        <v>114</v>
      </c>
      <c r="G140" s="367">
        <v>114</v>
      </c>
      <c r="H140" s="367">
        <v>114</v>
      </c>
      <c r="I140" s="534">
        <f t="shared" si="10"/>
        <v>744</v>
      </c>
      <c r="J140" s="459">
        <v>0</v>
      </c>
      <c r="K140" s="497">
        <v>116</v>
      </c>
      <c r="L140" s="497">
        <v>233</v>
      </c>
      <c r="M140" s="471">
        <f t="shared" si="9"/>
        <v>1747</v>
      </c>
      <c r="N140" s="28">
        <v>0</v>
      </c>
      <c r="O140" s="26">
        <v>0</v>
      </c>
      <c r="P140" s="26">
        <v>0</v>
      </c>
      <c r="Q140" s="472"/>
    </row>
    <row r="141" spans="1:17" ht="12.75">
      <c r="A141" s="26">
        <v>745</v>
      </c>
      <c r="B141" s="27" t="s">
        <v>168</v>
      </c>
      <c r="C141" s="26">
        <v>1450</v>
      </c>
      <c r="D141" s="186">
        <v>107</v>
      </c>
      <c r="E141" s="186">
        <v>107</v>
      </c>
      <c r="F141" s="367">
        <f>IF(C141&lt;972,E141+44,E141)</f>
        <v>107</v>
      </c>
      <c r="G141" s="367">
        <v>107</v>
      </c>
      <c r="H141" s="367">
        <v>107</v>
      </c>
      <c r="I141" s="534">
        <f t="shared" si="10"/>
        <v>745</v>
      </c>
      <c r="J141" s="459">
        <v>0</v>
      </c>
      <c r="K141" s="459">
        <v>0</v>
      </c>
      <c r="L141" s="459">
        <v>0</v>
      </c>
      <c r="M141" s="471">
        <f t="shared" si="9"/>
        <v>1557</v>
      </c>
      <c r="N141" s="28">
        <v>0</v>
      </c>
      <c r="O141" s="26">
        <v>0</v>
      </c>
      <c r="P141" s="26">
        <v>0</v>
      </c>
      <c r="Q141" s="472"/>
    </row>
    <row r="142" spans="1:17" ht="12.75">
      <c r="A142" s="26">
        <v>746</v>
      </c>
      <c r="B142" s="27" t="s">
        <v>169</v>
      </c>
      <c r="C142" s="26">
        <v>971</v>
      </c>
      <c r="D142" s="186">
        <v>170</v>
      </c>
      <c r="E142" s="535">
        <v>216</v>
      </c>
      <c r="F142" s="367">
        <v>261</v>
      </c>
      <c r="G142" s="459">
        <v>327</v>
      </c>
      <c r="H142" s="459">
        <v>350</v>
      </c>
      <c r="I142" s="534">
        <f t="shared" si="10"/>
        <v>746</v>
      </c>
      <c r="J142" s="459">
        <v>0</v>
      </c>
      <c r="K142" s="459">
        <v>0</v>
      </c>
      <c r="L142" s="459">
        <v>0</v>
      </c>
      <c r="M142" s="471">
        <f t="shared" si="9"/>
        <v>1298</v>
      </c>
      <c r="N142" s="28">
        <v>150</v>
      </c>
      <c r="O142" s="26">
        <v>0</v>
      </c>
      <c r="P142" s="26">
        <v>0</v>
      </c>
      <c r="Q142" s="472"/>
    </row>
    <row r="143" spans="1:17" ht="12.75">
      <c r="A143" s="26">
        <v>747</v>
      </c>
      <c r="B143" s="27" t="s">
        <v>170</v>
      </c>
      <c r="C143" s="26">
        <v>971</v>
      </c>
      <c r="D143" s="186">
        <v>170</v>
      </c>
      <c r="E143" s="535">
        <v>216</v>
      </c>
      <c r="F143" s="367">
        <v>261</v>
      </c>
      <c r="G143" s="459">
        <v>327</v>
      </c>
      <c r="H143" s="459">
        <v>350</v>
      </c>
      <c r="I143" s="534">
        <f t="shared" si="10"/>
        <v>747</v>
      </c>
      <c r="J143" s="459">
        <v>0</v>
      </c>
      <c r="K143" s="459">
        <v>0</v>
      </c>
      <c r="L143" s="459">
        <v>0</v>
      </c>
      <c r="M143" s="471">
        <f t="shared" si="9"/>
        <v>1298</v>
      </c>
      <c r="N143" s="28">
        <v>0</v>
      </c>
      <c r="O143" s="26">
        <v>0</v>
      </c>
      <c r="P143" s="26">
        <v>0</v>
      </c>
      <c r="Q143" s="472"/>
    </row>
    <row r="144" spans="1:17" ht="12.75">
      <c r="A144" s="26">
        <v>748</v>
      </c>
      <c r="B144" s="27" t="s">
        <v>171</v>
      </c>
      <c r="C144" s="26">
        <v>1250</v>
      </c>
      <c r="D144" s="186">
        <v>134</v>
      </c>
      <c r="E144" s="186">
        <v>134</v>
      </c>
      <c r="F144" s="367">
        <f>IF(C144&lt;972,E144+44,E144)</f>
        <v>134</v>
      </c>
      <c r="G144" s="367">
        <v>134</v>
      </c>
      <c r="H144" s="367">
        <v>134</v>
      </c>
      <c r="I144" s="534">
        <f t="shared" si="10"/>
        <v>748</v>
      </c>
      <c r="J144" s="459">
        <v>0</v>
      </c>
      <c r="K144" s="496">
        <v>116</v>
      </c>
      <c r="L144" s="496">
        <v>233</v>
      </c>
      <c r="M144" s="471">
        <f t="shared" si="9"/>
        <v>1617</v>
      </c>
      <c r="N144" s="28">
        <v>0</v>
      </c>
      <c r="O144" s="26">
        <v>0</v>
      </c>
      <c r="P144" s="26">
        <v>0</v>
      </c>
      <c r="Q144" s="472"/>
    </row>
    <row r="145" spans="1:17" s="537" customFormat="1" ht="12.75">
      <c r="A145" s="473">
        <v>749</v>
      </c>
      <c r="B145" s="474" t="s">
        <v>71</v>
      </c>
      <c r="C145" s="473">
        <v>971</v>
      </c>
      <c r="D145" s="475">
        <v>170</v>
      </c>
      <c r="E145" s="503">
        <v>216</v>
      </c>
      <c r="F145" s="367">
        <v>261</v>
      </c>
      <c r="G145" s="459">
        <v>327</v>
      </c>
      <c r="H145" s="459">
        <v>350</v>
      </c>
      <c r="I145" s="536">
        <f t="shared" si="10"/>
        <v>749</v>
      </c>
      <c r="J145" s="460">
        <v>0</v>
      </c>
      <c r="K145" s="460">
        <v>0</v>
      </c>
      <c r="L145" s="460">
        <v>0</v>
      </c>
      <c r="M145" s="471">
        <f t="shared" si="9"/>
        <v>1298</v>
      </c>
      <c r="N145" s="478">
        <v>0</v>
      </c>
      <c r="O145" s="473">
        <v>0</v>
      </c>
      <c r="P145" s="473">
        <v>0</v>
      </c>
      <c r="Q145" s="479"/>
    </row>
    <row r="146" spans="1:17" ht="12.75">
      <c r="A146" s="26">
        <v>750</v>
      </c>
      <c r="B146" s="27" t="s">
        <v>70</v>
      </c>
      <c r="C146" s="26">
        <v>971</v>
      </c>
      <c r="D146" s="186">
        <v>170</v>
      </c>
      <c r="E146" s="535">
        <v>216</v>
      </c>
      <c r="F146" s="367">
        <v>261</v>
      </c>
      <c r="G146" s="459">
        <v>327</v>
      </c>
      <c r="H146" s="459">
        <v>350</v>
      </c>
      <c r="I146" s="534">
        <f t="shared" si="10"/>
        <v>750</v>
      </c>
      <c r="J146" s="459">
        <v>0</v>
      </c>
      <c r="K146" s="459">
        <v>0</v>
      </c>
      <c r="L146" s="459">
        <v>0</v>
      </c>
      <c r="M146" s="471">
        <f t="shared" si="9"/>
        <v>1298</v>
      </c>
      <c r="N146" s="28">
        <v>0</v>
      </c>
      <c r="O146" s="26">
        <v>0</v>
      </c>
      <c r="P146" s="26">
        <v>0</v>
      </c>
      <c r="Q146" s="472"/>
    </row>
    <row r="147" spans="1:17" ht="12.75">
      <c r="A147" s="26">
        <v>751</v>
      </c>
      <c r="B147" s="542" t="s">
        <v>403</v>
      </c>
      <c r="C147" s="26">
        <v>1500</v>
      </c>
      <c r="D147" s="186">
        <v>101</v>
      </c>
      <c r="E147" s="186">
        <v>101</v>
      </c>
      <c r="F147" s="367">
        <f>IF(C147&lt;972,E147+44,E147)</f>
        <v>101</v>
      </c>
      <c r="G147" s="367">
        <v>101</v>
      </c>
      <c r="H147" s="367">
        <v>101</v>
      </c>
      <c r="I147" s="534">
        <f t="shared" si="10"/>
        <v>751</v>
      </c>
      <c r="J147" s="459">
        <v>0</v>
      </c>
      <c r="K147" s="496">
        <v>116</v>
      </c>
      <c r="L147" s="496">
        <v>233</v>
      </c>
      <c r="M147" s="471">
        <f t="shared" si="9"/>
        <v>1834</v>
      </c>
      <c r="N147" s="28">
        <v>150</v>
      </c>
      <c r="O147" s="26">
        <v>0</v>
      </c>
      <c r="P147" s="26">
        <v>0</v>
      </c>
      <c r="Q147" s="472"/>
    </row>
    <row r="148" spans="1:17" ht="12.75">
      <c r="A148" s="26">
        <v>752</v>
      </c>
      <c r="B148" s="27" t="s">
        <v>173</v>
      </c>
      <c r="C148" s="26">
        <v>2913</v>
      </c>
      <c r="D148" s="186">
        <v>0</v>
      </c>
      <c r="E148" s="186">
        <v>0</v>
      </c>
      <c r="F148" s="367">
        <f>IF(C148&lt;972,E148+44,E148)</f>
        <v>0</v>
      </c>
      <c r="G148" s="367">
        <v>0</v>
      </c>
      <c r="H148" s="367">
        <v>0</v>
      </c>
      <c r="I148" s="534">
        <f t="shared" si="10"/>
        <v>752</v>
      </c>
      <c r="J148" s="459">
        <v>0</v>
      </c>
      <c r="K148" s="459">
        <v>0</v>
      </c>
      <c r="L148" s="459">
        <v>0</v>
      </c>
      <c r="M148" s="471">
        <f t="shared" si="9"/>
        <v>2913</v>
      </c>
      <c r="N148" s="28">
        <v>20</v>
      </c>
      <c r="O148" s="26">
        <v>0</v>
      </c>
      <c r="P148" s="26">
        <v>0</v>
      </c>
      <c r="Q148" s="472"/>
    </row>
    <row r="149" spans="1:17" ht="12.75">
      <c r="A149" s="26">
        <v>753</v>
      </c>
      <c r="B149" s="27" t="s">
        <v>174</v>
      </c>
      <c r="C149" s="26">
        <v>1942</v>
      </c>
      <c r="D149" s="186">
        <v>43</v>
      </c>
      <c r="E149" s="186">
        <v>43</v>
      </c>
      <c r="F149" s="367">
        <f>IF(C149&lt;972,E149+44,E149)</f>
        <v>43</v>
      </c>
      <c r="G149" s="367">
        <v>43</v>
      </c>
      <c r="H149" s="367">
        <v>43</v>
      </c>
      <c r="I149" s="534">
        <f t="shared" si="10"/>
        <v>753</v>
      </c>
      <c r="J149" s="459">
        <v>0</v>
      </c>
      <c r="K149" s="459">
        <v>233</v>
      </c>
      <c r="L149" s="459">
        <v>466</v>
      </c>
      <c r="M149" s="471">
        <f t="shared" si="9"/>
        <v>2451</v>
      </c>
      <c r="N149" s="28">
        <v>150</v>
      </c>
      <c r="O149" s="26">
        <v>0</v>
      </c>
      <c r="P149" s="26">
        <v>0</v>
      </c>
      <c r="Q149" s="472"/>
    </row>
    <row r="150" spans="1:17" ht="12.75">
      <c r="A150" s="26">
        <v>754</v>
      </c>
      <c r="B150" s="27" t="s">
        <v>175</v>
      </c>
      <c r="C150" s="26">
        <v>971</v>
      </c>
      <c r="D150" s="186">
        <v>170</v>
      </c>
      <c r="E150" s="535">
        <v>216</v>
      </c>
      <c r="F150" s="367">
        <v>261</v>
      </c>
      <c r="G150" s="459">
        <v>327</v>
      </c>
      <c r="H150" s="459">
        <v>350</v>
      </c>
      <c r="I150" s="534">
        <f t="shared" si="10"/>
        <v>754</v>
      </c>
      <c r="J150" s="459">
        <v>0</v>
      </c>
      <c r="K150" s="459">
        <v>0</v>
      </c>
      <c r="L150" s="459">
        <v>0</v>
      </c>
      <c r="M150" s="471">
        <f t="shared" si="9"/>
        <v>1298</v>
      </c>
      <c r="N150" s="28">
        <v>0</v>
      </c>
      <c r="O150" s="26">
        <v>0</v>
      </c>
      <c r="P150" s="26">
        <v>0</v>
      </c>
      <c r="Q150" s="472"/>
    </row>
    <row r="151" spans="1:17" ht="12.75">
      <c r="A151" s="26">
        <v>755</v>
      </c>
      <c r="B151" s="27" t="s">
        <v>176</v>
      </c>
      <c r="C151" s="26">
        <v>971</v>
      </c>
      <c r="D151" s="186">
        <v>170</v>
      </c>
      <c r="E151" s="535">
        <v>216</v>
      </c>
      <c r="F151" s="367">
        <v>261</v>
      </c>
      <c r="G151" s="459">
        <v>327</v>
      </c>
      <c r="H151" s="459">
        <v>350</v>
      </c>
      <c r="I151" s="534">
        <f t="shared" si="10"/>
        <v>755</v>
      </c>
      <c r="J151" s="459">
        <v>0</v>
      </c>
      <c r="K151" s="459">
        <v>0</v>
      </c>
      <c r="L151" s="459">
        <v>0</v>
      </c>
      <c r="M151" s="471">
        <f t="shared" si="9"/>
        <v>1298</v>
      </c>
      <c r="N151" s="28">
        <v>0</v>
      </c>
      <c r="O151" s="26">
        <v>0</v>
      </c>
      <c r="P151" s="26">
        <v>0</v>
      </c>
      <c r="Q151" s="472"/>
    </row>
    <row r="152" spans="1:17" ht="12.75">
      <c r="A152" s="26">
        <v>756</v>
      </c>
      <c r="B152" s="27" t="s">
        <v>177</v>
      </c>
      <c r="C152" s="26">
        <v>1290</v>
      </c>
      <c r="D152" s="186">
        <v>128</v>
      </c>
      <c r="E152" s="186">
        <v>128</v>
      </c>
      <c r="F152" s="367">
        <f>IF(C152&lt;972,E152+44,E152)</f>
        <v>128</v>
      </c>
      <c r="G152" s="367">
        <v>128</v>
      </c>
      <c r="H152" s="367">
        <v>128</v>
      </c>
      <c r="I152" s="534">
        <f t="shared" si="10"/>
        <v>756</v>
      </c>
      <c r="J152" s="459">
        <v>0</v>
      </c>
      <c r="K152" s="496">
        <v>116</v>
      </c>
      <c r="L152" s="496">
        <v>232</v>
      </c>
      <c r="M152" s="471">
        <f t="shared" si="9"/>
        <v>1650</v>
      </c>
      <c r="N152" s="28">
        <v>0</v>
      </c>
      <c r="O152" s="26">
        <v>0</v>
      </c>
      <c r="P152" s="26">
        <v>0</v>
      </c>
      <c r="Q152" s="472"/>
    </row>
    <row r="153" spans="1:17" ht="12.75">
      <c r="A153" s="26">
        <v>757</v>
      </c>
      <c r="B153" s="27" t="s">
        <v>178</v>
      </c>
      <c r="C153" s="26">
        <v>971</v>
      </c>
      <c r="D153" s="186">
        <v>170</v>
      </c>
      <c r="E153" s="535">
        <v>216</v>
      </c>
      <c r="F153" s="367">
        <v>261</v>
      </c>
      <c r="G153" s="459">
        <v>327</v>
      </c>
      <c r="H153" s="459">
        <v>350</v>
      </c>
      <c r="I153" s="534">
        <f t="shared" si="10"/>
        <v>757</v>
      </c>
      <c r="J153" s="459">
        <v>0</v>
      </c>
      <c r="K153" s="459">
        <v>0</v>
      </c>
      <c r="L153" s="459">
        <v>0</v>
      </c>
      <c r="M153" s="471">
        <f t="shared" si="9"/>
        <v>1298</v>
      </c>
      <c r="N153" s="28">
        <v>0</v>
      </c>
      <c r="O153" s="26">
        <v>0</v>
      </c>
      <c r="P153" s="26">
        <v>0</v>
      </c>
      <c r="Q153" s="472"/>
    </row>
    <row r="154" spans="1:17" ht="12.75">
      <c r="A154" s="26">
        <v>758</v>
      </c>
      <c r="B154" s="27" t="s">
        <v>179</v>
      </c>
      <c r="C154" s="26">
        <v>971</v>
      </c>
      <c r="D154" s="186">
        <v>170</v>
      </c>
      <c r="E154" s="535">
        <v>216</v>
      </c>
      <c r="F154" s="367">
        <v>261</v>
      </c>
      <c r="G154" s="459">
        <v>327</v>
      </c>
      <c r="H154" s="459">
        <v>350</v>
      </c>
      <c r="I154" s="534">
        <f t="shared" si="10"/>
        <v>758</v>
      </c>
      <c r="J154" s="459">
        <v>0</v>
      </c>
      <c r="K154" s="459">
        <v>0</v>
      </c>
      <c r="L154" s="459">
        <v>0</v>
      </c>
      <c r="M154" s="471">
        <f t="shared" si="9"/>
        <v>1298</v>
      </c>
      <c r="N154" s="28">
        <v>0</v>
      </c>
      <c r="O154" s="26">
        <v>0</v>
      </c>
      <c r="P154" s="26">
        <v>0</v>
      </c>
      <c r="Q154" s="472"/>
    </row>
    <row r="155" spans="1:17" ht="12.75">
      <c r="A155" s="26">
        <v>759</v>
      </c>
      <c r="B155" s="27" t="s">
        <v>180</v>
      </c>
      <c r="C155" s="26">
        <v>971</v>
      </c>
      <c r="D155" s="186">
        <v>170</v>
      </c>
      <c r="E155" s="535">
        <v>216</v>
      </c>
      <c r="F155" s="367">
        <v>261</v>
      </c>
      <c r="G155" s="459">
        <v>327</v>
      </c>
      <c r="H155" s="459">
        <v>350</v>
      </c>
      <c r="I155" s="534">
        <f t="shared" si="10"/>
        <v>759</v>
      </c>
      <c r="J155" s="459">
        <v>0</v>
      </c>
      <c r="K155" s="459">
        <v>0</v>
      </c>
      <c r="L155" s="459">
        <v>0</v>
      </c>
      <c r="M155" s="471">
        <f t="shared" si="9"/>
        <v>1298</v>
      </c>
      <c r="N155" s="28">
        <v>150</v>
      </c>
      <c r="O155" s="26">
        <v>0</v>
      </c>
      <c r="P155" s="26">
        <v>0</v>
      </c>
      <c r="Q155" s="472"/>
    </row>
    <row r="156" spans="1:17" ht="12.75">
      <c r="A156" s="26">
        <v>760</v>
      </c>
      <c r="B156" s="27" t="s">
        <v>181</v>
      </c>
      <c r="C156" s="26">
        <v>1400</v>
      </c>
      <c r="D156" s="186">
        <v>114</v>
      </c>
      <c r="E156" s="186">
        <v>114</v>
      </c>
      <c r="F156" s="367">
        <f>IF(C156&lt;972,E156+44,E156)</f>
        <v>114</v>
      </c>
      <c r="G156" s="367">
        <v>114</v>
      </c>
      <c r="H156" s="367">
        <v>114</v>
      </c>
      <c r="I156" s="534">
        <f t="shared" si="10"/>
        <v>760</v>
      </c>
      <c r="J156" s="459">
        <v>0</v>
      </c>
      <c r="K156" s="459">
        <v>0</v>
      </c>
      <c r="L156" s="459">
        <v>0</v>
      </c>
      <c r="M156" s="471">
        <f t="shared" si="9"/>
        <v>1514</v>
      </c>
      <c r="N156" s="28">
        <v>0</v>
      </c>
      <c r="O156" s="26">
        <v>0</v>
      </c>
      <c r="P156" s="26">
        <v>0</v>
      </c>
      <c r="Q156" s="472"/>
    </row>
    <row r="157" spans="1:17" ht="12.75">
      <c r="A157" s="26">
        <v>761</v>
      </c>
      <c r="B157" s="27" t="s">
        <v>182</v>
      </c>
      <c r="C157" s="26">
        <v>1700</v>
      </c>
      <c r="D157" s="186">
        <v>75</v>
      </c>
      <c r="E157" s="186">
        <v>75</v>
      </c>
      <c r="F157" s="367">
        <f>IF(C157&lt;972,E157+44,E157)</f>
        <v>75</v>
      </c>
      <c r="G157" s="367">
        <v>75</v>
      </c>
      <c r="H157" s="367">
        <v>75</v>
      </c>
      <c r="I157" s="534">
        <f t="shared" si="10"/>
        <v>761</v>
      </c>
      <c r="J157" s="459">
        <v>0</v>
      </c>
      <c r="K157" s="459">
        <v>136</v>
      </c>
      <c r="L157" s="459">
        <v>272</v>
      </c>
      <c r="M157" s="471">
        <f t="shared" si="9"/>
        <v>2047</v>
      </c>
      <c r="N157" s="28">
        <v>150</v>
      </c>
      <c r="O157" s="26">
        <v>0</v>
      </c>
      <c r="P157" s="26">
        <v>0</v>
      </c>
      <c r="Q157" s="472"/>
    </row>
    <row r="158" spans="1:17" ht="12.75">
      <c r="A158" s="26">
        <v>762</v>
      </c>
      <c r="B158" s="27" t="s">
        <v>183</v>
      </c>
      <c r="C158" s="26">
        <v>971</v>
      </c>
      <c r="D158" s="186">
        <v>170</v>
      </c>
      <c r="E158" s="535">
        <v>216</v>
      </c>
      <c r="F158" s="367">
        <v>261</v>
      </c>
      <c r="G158" s="459">
        <v>327</v>
      </c>
      <c r="H158" s="459">
        <v>350</v>
      </c>
      <c r="I158" s="534">
        <f t="shared" si="10"/>
        <v>762</v>
      </c>
      <c r="J158" s="459">
        <v>0</v>
      </c>
      <c r="K158" s="459">
        <v>0</v>
      </c>
      <c r="L158" s="459">
        <v>0</v>
      </c>
      <c r="M158" s="471">
        <f t="shared" si="9"/>
        <v>1298</v>
      </c>
      <c r="N158" s="28">
        <v>0</v>
      </c>
      <c r="O158" s="26">
        <v>0</v>
      </c>
      <c r="P158" s="26">
        <v>0</v>
      </c>
      <c r="Q158" s="472"/>
    </row>
    <row r="159" spans="1:17" ht="12.75">
      <c r="A159" s="26">
        <v>763</v>
      </c>
      <c r="B159" s="27" t="s">
        <v>184</v>
      </c>
      <c r="C159" s="26">
        <v>971</v>
      </c>
      <c r="D159" s="186">
        <v>170</v>
      </c>
      <c r="E159" s="535">
        <v>216</v>
      </c>
      <c r="F159" s="367">
        <v>261</v>
      </c>
      <c r="G159" s="459">
        <v>327</v>
      </c>
      <c r="H159" s="459">
        <v>350</v>
      </c>
      <c r="I159" s="534">
        <f t="shared" si="10"/>
        <v>763</v>
      </c>
      <c r="J159" s="459">
        <v>0</v>
      </c>
      <c r="K159" s="459">
        <v>0</v>
      </c>
      <c r="L159" s="459">
        <v>0</v>
      </c>
      <c r="M159" s="471">
        <f t="shared" si="9"/>
        <v>1298</v>
      </c>
      <c r="N159" s="28">
        <v>0</v>
      </c>
      <c r="O159" s="26">
        <v>0</v>
      </c>
      <c r="P159" s="26">
        <v>0</v>
      </c>
      <c r="Q159" s="472"/>
    </row>
    <row r="160" spans="1:17" ht="12.75">
      <c r="A160" s="26">
        <v>764</v>
      </c>
      <c r="B160" s="27" t="s">
        <v>185</v>
      </c>
      <c r="C160" s="26">
        <v>1500</v>
      </c>
      <c r="D160" s="186">
        <v>101</v>
      </c>
      <c r="E160" s="186">
        <v>101</v>
      </c>
      <c r="F160" s="367">
        <f>IF(C160&lt;972,E160+44,E160)</f>
        <v>101</v>
      </c>
      <c r="G160" s="367">
        <v>101</v>
      </c>
      <c r="H160" s="367">
        <v>101</v>
      </c>
      <c r="I160" s="534">
        <f t="shared" si="10"/>
        <v>764</v>
      </c>
      <c r="J160" s="459">
        <v>0</v>
      </c>
      <c r="K160" s="459">
        <v>0</v>
      </c>
      <c r="L160" s="459">
        <v>0</v>
      </c>
      <c r="M160" s="471">
        <f t="shared" si="9"/>
        <v>1601</v>
      </c>
      <c r="N160" s="28">
        <v>150</v>
      </c>
      <c r="O160" s="26">
        <v>0</v>
      </c>
      <c r="P160" s="26">
        <v>0</v>
      </c>
      <c r="Q160" s="472"/>
    </row>
    <row r="161" spans="1:17" ht="12.75">
      <c r="A161" s="26">
        <v>765</v>
      </c>
      <c r="B161" s="27" t="s">
        <v>186</v>
      </c>
      <c r="C161" s="26">
        <v>1500</v>
      </c>
      <c r="D161" s="186">
        <v>101</v>
      </c>
      <c r="E161" s="186">
        <v>101</v>
      </c>
      <c r="F161" s="367">
        <f>IF(C161&lt;972,E161+44,E161)</f>
        <v>101</v>
      </c>
      <c r="G161" s="367">
        <v>101</v>
      </c>
      <c r="H161" s="367">
        <v>101</v>
      </c>
      <c r="I161" s="534">
        <f t="shared" si="10"/>
        <v>765</v>
      </c>
      <c r="J161" s="459">
        <v>0</v>
      </c>
      <c r="K161" s="459">
        <v>0</v>
      </c>
      <c r="L161" s="459">
        <v>0</v>
      </c>
      <c r="M161" s="471">
        <f t="shared" si="9"/>
        <v>1601</v>
      </c>
      <c r="N161" s="28">
        <v>150</v>
      </c>
      <c r="O161" s="26">
        <v>0</v>
      </c>
      <c r="P161" s="26">
        <v>0</v>
      </c>
      <c r="Q161" s="472"/>
    </row>
    <row r="162" spans="1:17" ht="12.75">
      <c r="A162" s="26">
        <v>766</v>
      </c>
      <c r="B162" s="27" t="s">
        <v>187</v>
      </c>
      <c r="C162" s="26">
        <v>1942</v>
      </c>
      <c r="D162" s="186">
        <v>43</v>
      </c>
      <c r="E162" s="186">
        <v>43</v>
      </c>
      <c r="F162" s="367">
        <f>IF(C162&lt;972,E162+44,E162)</f>
        <v>43</v>
      </c>
      <c r="G162" s="367">
        <v>43</v>
      </c>
      <c r="H162" s="367">
        <v>43</v>
      </c>
      <c r="I162" s="534">
        <f t="shared" si="10"/>
        <v>766</v>
      </c>
      <c r="J162" s="459">
        <v>0</v>
      </c>
      <c r="K162" s="459">
        <v>233</v>
      </c>
      <c r="L162" s="459">
        <v>466</v>
      </c>
      <c r="M162" s="471">
        <f t="shared" si="9"/>
        <v>2451</v>
      </c>
      <c r="N162" s="28">
        <v>150</v>
      </c>
      <c r="O162" s="26">
        <v>0</v>
      </c>
      <c r="P162" s="26">
        <v>0</v>
      </c>
      <c r="Q162" s="472"/>
    </row>
    <row r="163" spans="1:17" ht="12.75">
      <c r="A163" s="26">
        <v>767</v>
      </c>
      <c r="B163" s="27" t="s">
        <v>188</v>
      </c>
      <c r="C163" s="26">
        <v>1700</v>
      </c>
      <c r="D163" s="186">
        <v>75</v>
      </c>
      <c r="E163" s="186">
        <v>75</v>
      </c>
      <c r="F163" s="367">
        <f>IF(C163&lt;972,E163+44,E163)</f>
        <v>75</v>
      </c>
      <c r="G163" s="367">
        <v>75</v>
      </c>
      <c r="H163" s="367">
        <v>75</v>
      </c>
      <c r="I163" s="534">
        <f t="shared" si="10"/>
        <v>767</v>
      </c>
      <c r="J163" s="459">
        <v>0</v>
      </c>
      <c r="K163" s="496">
        <v>116</v>
      </c>
      <c r="L163" s="496">
        <v>232</v>
      </c>
      <c r="M163" s="471">
        <f t="shared" si="9"/>
        <v>2007</v>
      </c>
      <c r="N163" s="28">
        <v>150</v>
      </c>
      <c r="O163" s="26">
        <v>0</v>
      </c>
      <c r="P163" s="26">
        <v>0</v>
      </c>
      <c r="Q163" s="472"/>
    </row>
    <row r="164" spans="1:17" ht="12.75">
      <c r="A164" s="26">
        <v>768</v>
      </c>
      <c r="B164" s="27" t="s">
        <v>189</v>
      </c>
      <c r="C164" s="26">
        <v>971</v>
      </c>
      <c r="D164" s="186">
        <v>170</v>
      </c>
      <c r="E164" s="535">
        <v>216</v>
      </c>
      <c r="F164" s="367">
        <v>261</v>
      </c>
      <c r="G164" s="459">
        <v>327</v>
      </c>
      <c r="H164" s="459">
        <v>350</v>
      </c>
      <c r="I164" s="534">
        <f t="shared" si="10"/>
        <v>768</v>
      </c>
      <c r="J164" s="459">
        <v>0</v>
      </c>
      <c r="K164" s="459">
        <v>0</v>
      </c>
      <c r="L164" s="459">
        <v>0</v>
      </c>
      <c r="M164" s="471">
        <f t="shared" si="9"/>
        <v>1298</v>
      </c>
      <c r="N164" s="28">
        <v>150</v>
      </c>
      <c r="O164" s="26">
        <v>0</v>
      </c>
      <c r="P164" s="26">
        <v>0</v>
      </c>
      <c r="Q164" s="472"/>
    </row>
    <row r="165" spans="1:17" ht="12.75">
      <c r="A165" s="26">
        <v>769</v>
      </c>
      <c r="B165" s="27" t="s">
        <v>190</v>
      </c>
      <c r="C165" s="26">
        <v>2913</v>
      </c>
      <c r="D165" s="186">
        <v>0</v>
      </c>
      <c r="E165" s="186">
        <v>0</v>
      </c>
      <c r="F165" s="367">
        <f>IF(C165&lt;972,E165+44,E165)</f>
        <v>0</v>
      </c>
      <c r="G165" s="367">
        <v>0</v>
      </c>
      <c r="H165" s="367">
        <v>0</v>
      </c>
      <c r="I165" s="534">
        <f t="shared" si="10"/>
        <v>769</v>
      </c>
      <c r="J165" s="459">
        <v>0</v>
      </c>
      <c r="K165" s="459">
        <f>D165*0.09</f>
        <v>0</v>
      </c>
      <c r="L165" s="459">
        <v>0</v>
      </c>
      <c r="M165" s="471">
        <f t="shared" si="9"/>
        <v>2913</v>
      </c>
      <c r="N165" s="28">
        <v>0</v>
      </c>
      <c r="O165" s="26">
        <v>0</v>
      </c>
      <c r="P165" s="26">
        <v>0</v>
      </c>
      <c r="Q165" s="472"/>
    </row>
    <row r="166" spans="1:17" ht="12.75">
      <c r="A166" s="26">
        <v>770</v>
      </c>
      <c r="B166" s="27" t="s">
        <v>191</v>
      </c>
      <c r="C166" s="26">
        <v>2913</v>
      </c>
      <c r="D166" s="186">
        <v>0</v>
      </c>
      <c r="E166" s="186">
        <v>0</v>
      </c>
      <c r="F166" s="367">
        <f>IF(C166&lt;972,E166+44,E166)</f>
        <v>0</v>
      </c>
      <c r="G166" s="367">
        <v>0</v>
      </c>
      <c r="H166" s="367">
        <v>0</v>
      </c>
      <c r="I166" s="534">
        <f t="shared" si="10"/>
        <v>770</v>
      </c>
      <c r="J166" s="459">
        <v>0</v>
      </c>
      <c r="K166" s="495">
        <v>233</v>
      </c>
      <c r="L166" s="495">
        <v>776</v>
      </c>
      <c r="M166" s="471">
        <f t="shared" si="9"/>
        <v>3689</v>
      </c>
      <c r="N166" s="28">
        <v>0</v>
      </c>
      <c r="O166" s="26">
        <v>0</v>
      </c>
      <c r="P166" s="26">
        <v>0</v>
      </c>
      <c r="Q166" s="472"/>
    </row>
    <row r="167" spans="1:17" ht="12.75">
      <c r="A167" s="26">
        <v>771</v>
      </c>
      <c r="B167" s="27" t="s">
        <v>192</v>
      </c>
      <c r="C167" s="26">
        <v>971</v>
      </c>
      <c r="D167" s="186">
        <v>170</v>
      </c>
      <c r="E167" s="535">
        <v>216</v>
      </c>
      <c r="F167" s="367">
        <v>261</v>
      </c>
      <c r="G167" s="459">
        <v>327</v>
      </c>
      <c r="H167" s="459">
        <v>350</v>
      </c>
      <c r="I167" s="534">
        <f t="shared" si="10"/>
        <v>771</v>
      </c>
      <c r="J167" s="459">
        <v>0</v>
      </c>
      <c r="K167" s="459">
        <v>0</v>
      </c>
      <c r="L167" s="459">
        <v>0</v>
      </c>
      <c r="M167" s="471">
        <f t="shared" si="9"/>
        <v>1298</v>
      </c>
      <c r="N167" s="28">
        <v>0</v>
      </c>
      <c r="O167" s="26">
        <v>0</v>
      </c>
      <c r="P167" s="26">
        <v>620</v>
      </c>
      <c r="Q167" s="472"/>
    </row>
    <row r="168" spans="1:17" ht="12.75">
      <c r="A168" s="26">
        <v>772</v>
      </c>
      <c r="B168" s="27" t="s">
        <v>193</v>
      </c>
      <c r="C168" s="26">
        <v>971</v>
      </c>
      <c r="D168" s="186">
        <v>170</v>
      </c>
      <c r="E168" s="535">
        <v>216</v>
      </c>
      <c r="F168" s="367">
        <v>261</v>
      </c>
      <c r="G168" s="459">
        <v>327</v>
      </c>
      <c r="H168" s="459">
        <v>350</v>
      </c>
      <c r="I168" s="534">
        <f t="shared" si="10"/>
        <v>772</v>
      </c>
      <c r="J168" s="459">
        <v>0</v>
      </c>
      <c r="K168" s="459">
        <v>0</v>
      </c>
      <c r="L168" s="459">
        <v>0</v>
      </c>
      <c r="M168" s="471">
        <f t="shared" si="9"/>
        <v>1298</v>
      </c>
      <c r="N168" s="28">
        <v>0</v>
      </c>
      <c r="O168" s="26">
        <v>0</v>
      </c>
      <c r="P168" s="26">
        <v>620</v>
      </c>
      <c r="Q168" s="472"/>
    </row>
    <row r="169" spans="1:17" ht="12.75">
      <c r="A169" s="26">
        <v>773</v>
      </c>
      <c r="B169" s="27" t="s">
        <v>457</v>
      </c>
      <c r="C169" s="26">
        <v>1942</v>
      </c>
      <c r="D169" s="186">
        <v>43</v>
      </c>
      <c r="E169" s="186">
        <v>43</v>
      </c>
      <c r="F169" s="367">
        <f>IF(C169&lt;972,E169+44,E169)</f>
        <v>43</v>
      </c>
      <c r="G169" s="367">
        <v>43</v>
      </c>
      <c r="H169" s="367">
        <v>43</v>
      </c>
      <c r="I169" s="534">
        <f t="shared" si="10"/>
        <v>773</v>
      </c>
      <c r="J169" s="459">
        <v>0</v>
      </c>
      <c r="K169" s="459">
        <v>233</v>
      </c>
      <c r="L169" s="459">
        <v>466</v>
      </c>
      <c r="M169" s="471">
        <f t="shared" si="9"/>
        <v>2451</v>
      </c>
      <c r="N169" s="28">
        <v>0</v>
      </c>
      <c r="O169" s="26">
        <v>0</v>
      </c>
      <c r="P169" s="26">
        <v>669</v>
      </c>
      <c r="Q169" s="472"/>
    </row>
    <row r="170" spans="1:17" ht="12.75">
      <c r="A170" s="26">
        <v>774</v>
      </c>
      <c r="B170" s="27" t="s">
        <v>458</v>
      </c>
      <c r="C170" s="26">
        <v>1700</v>
      </c>
      <c r="D170" s="186">
        <v>75</v>
      </c>
      <c r="E170" s="186">
        <v>75</v>
      </c>
      <c r="F170" s="367">
        <f>IF(C170&lt;972,E170+44,E170)</f>
        <v>75</v>
      </c>
      <c r="G170" s="367">
        <v>75</v>
      </c>
      <c r="H170" s="367">
        <v>75</v>
      </c>
      <c r="I170" s="534">
        <f t="shared" si="10"/>
        <v>774</v>
      </c>
      <c r="J170" s="459">
        <v>0</v>
      </c>
      <c r="K170" s="459">
        <v>155</v>
      </c>
      <c r="L170" s="459">
        <v>310</v>
      </c>
      <c r="M170" s="471">
        <f t="shared" si="9"/>
        <v>2085</v>
      </c>
      <c r="N170" s="28">
        <v>0</v>
      </c>
      <c r="O170" s="26">
        <v>0</v>
      </c>
      <c r="P170" s="26">
        <v>657</v>
      </c>
      <c r="Q170" s="472"/>
    </row>
    <row r="171" spans="1:17" ht="12.75">
      <c r="A171" s="26">
        <v>775</v>
      </c>
      <c r="B171" s="27" t="s">
        <v>294</v>
      </c>
      <c r="C171" s="26">
        <v>1400</v>
      </c>
      <c r="D171" s="186">
        <v>114</v>
      </c>
      <c r="E171" s="186">
        <v>114</v>
      </c>
      <c r="F171" s="367">
        <f>IF(C171&lt;972,E171+44,E171)</f>
        <v>114</v>
      </c>
      <c r="G171" s="367">
        <v>114</v>
      </c>
      <c r="H171" s="367">
        <v>114</v>
      </c>
      <c r="I171" s="534">
        <f t="shared" si="10"/>
        <v>775</v>
      </c>
      <c r="J171" s="459">
        <v>0</v>
      </c>
      <c r="K171" s="496">
        <v>116</v>
      </c>
      <c r="L171" s="496">
        <v>233</v>
      </c>
      <c r="M171" s="471">
        <f t="shared" si="9"/>
        <v>1747</v>
      </c>
      <c r="N171" s="28">
        <v>150</v>
      </c>
      <c r="O171" s="26">
        <v>0</v>
      </c>
      <c r="P171" s="26">
        <v>0</v>
      </c>
      <c r="Q171" s="472"/>
    </row>
    <row r="172" spans="1:17" ht="12.75">
      <c r="A172" s="26">
        <v>776</v>
      </c>
      <c r="B172" s="27" t="s">
        <v>194</v>
      </c>
      <c r="C172" s="26">
        <v>971</v>
      </c>
      <c r="D172" s="186">
        <v>170</v>
      </c>
      <c r="E172" s="535">
        <v>216</v>
      </c>
      <c r="F172" s="367">
        <v>261</v>
      </c>
      <c r="G172" s="459">
        <v>327</v>
      </c>
      <c r="H172" s="459">
        <v>350</v>
      </c>
      <c r="I172" s="534">
        <f t="shared" si="10"/>
        <v>776</v>
      </c>
      <c r="J172" s="459">
        <v>0</v>
      </c>
      <c r="K172" s="459">
        <v>0</v>
      </c>
      <c r="L172" s="459">
        <v>0</v>
      </c>
      <c r="M172" s="471">
        <f t="shared" si="9"/>
        <v>1298</v>
      </c>
      <c r="N172" s="28">
        <v>0</v>
      </c>
      <c r="O172" s="26">
        <v>0</v>
      </c>
      <c r="P172" s="26">
        <v>0</v>
      </c>
      <c r="Q172" s="472"/>
    </row>
    <row r="173" spans="1:17" ht="12.75">
      <c r="A173" s="26">
        <v>777</v>
      </c>
      <c r="B173" s="27" t="s">
        <v>195</v>
      </c>
      <c r="C173" s="26">
        <v>971</v>
      </c>
      <c r="D173" s="186">
        <v>170</v>
      </c>
      <c r="E173" s="535">
        <v>216</v>
      </c>
      <c r="F173" s="367">
        <v>261</v>
      </c>
      <c r="G173" s="459">
        <v>327</v>
      </c>
      <c r="H173" s="459">
        <v>350</v>
      </c>
      <c r="I173" s="534">
        <f t="shared" si="10"/>
        <v>777</v>
      </c>
      <c r="J173" s="459">
        <v>0</v>
      </c>
      <c r="K173" s="459">
        <v>0</v>
      </c>
      <c r="L173" s="459">
        <v>0</v>
      </c>
      <c r="M173" s="471">
        <f t="shared" si="9"/>
        <v>1298</v>
      </c>
      <c r="N173" s="28">
        <v>0</v>
      </c>
      <c r="O173" s="26">
        <v>0</v>
      </c>
      <c r="P173" s="26">
        <v>155</v>
      </c>
      <c r="Q173" s="472"/>
    </row>
    <row r="174" spans="1:17" ht="12.75">
      <c r="A174" s="26">
        <v>778</v>
      </c>
      <c r="B174" s="27" t="s">
        <v>196</v>
      </c>
      <c r="C174" s="26">
        <v>1692</v>
      </c>
      <c r="D174" s="186">
        <v>76</v>
      </c>
      <c r="E174" s="186">
        <v>76</v>
      </c>
      <c r="F174" s="367">
        <f>IF(C174&lt;972,E174+44,E174)</f>
        <v>76</v>
      </c>
      <c r="G174" s="367">
        <v>76</v>
      </c>
      <c r="H174" s="367">
        <v>76</v>
      </c>
      <c r="I174" s="534">
        <f t="shared" si="10"/>
        <v>778</v>
      </c>
      <c r="J174" s="459">
        <v>0</v>
      </c>
      <c r="K174" s="496">
        <v>136</v>
      </c>
      <c r="L174" s="496">
        <v>272</v>
      </c>
      <c r="M174" s="471">
        <f t="shared" si="9"/>
        <v>2040</v>
      </c>
      <c r="N174" s="28">
        <v>17</v>
      </c>
      <c r="O174" s="26">
        <v>0</v>
      </c>
      <c r="P174" s="26">
        <v>0</v>
      </c>
      <c r="Q174" s="472"/>
    </row>
    <row r="175" spans="1:17" ht="12.75">
      <c r="A175" s="26">
        <v>779</v>
      </c>
      <c r="B175" s="29" t="s">
        <v>197</v>
      </c>
      <c r="C175" s="26">
        <v>853</v>
      </c>
      <c r="D175" s="186">
        <v>170</v>
      </c>
      <c r="E175" s="535">
        <v>216</v>
      </c>
      <c r="F175" s="367">
        <v>261</v>
      </c>
      <c r="G175" s="459">
        <v>327</v>
      </c>
      <c r="H175" s="459">
        <v>350</v>
      </c>
      <c r="I175" s="534">
        <f t="shared" si="10"/>
        <v>779</v>
      </c>
      <c r="J175" s="459">
        <v>0</v>
      </c>
      <c r="K175" s="459">
        <v>0</v>
      </c>
      <c r="L175" s="459">
        <v>0</v>
      </c>
      <c r="M175" s="471">
        <f t="shared" si="9"/>
        <v>1180</v>
      </c>
      <c r="N175" s="28">
        <v>0</v>
      </c>
      <c r="O175" s="26">
        <v>0</v>
      </c>
      <c r="P175" s="26">
        <v>0</v>
      </c>
      <c r="Q175" s="472"/>
    </row>
    <row r="176" spans="1:17" ht="12.75">
      <c r="A176" s="26">
        <v>780</v>
      </c>
      <c r="B176" s="27" t="s">
        <v>198</v>
      </c>
      <c r="C176" s="26">
        <v>3146</v>
      </c>
      <c r="D176" s="186">
        <v>0</v>
      </c>
      <c r="E176" s="186">
        <v>0</v>
      </c>
      <c r="F176" s="367">
        <f>IF(C176&lt;972,E176+44,E176)</f>
        <v>0</v>
      </c>
      <c r="G176" s="367">
        <v>0</v>
      </c>
      <c r="H176" s="367">
        <v>0</v>
      </c>
      <c r="I176" s="534">
        <f t="shared" si="10"/>
        <v>780</v>
      </c>
      <c r="J176" s="459">
        <v>0</v>
      </c>
      <c r="K176" s="459">
        <f>D176*0.09</f>
        <v>0</v>
      </c>
      <c r="L176" s="459">
        <v>0</v>
      </c>
      <c r="M176" s="471">
        <f t="shared" si="9"/>
        <v>3146</v>
      </c>
      <c r="N176" s="28">
        <v>0</v>
      </c>
      <c r="O176" s="26">
        <v>0</v>
      </c>
      <c r="P176" s="26">
        <v>0</v>
      </c>
      <c r="Q176" s="472"/>
    </row>
    <row r="177" spans="1:17" ht="12.75">
      <c r="A177" s="26">
        <v>781</v>
      </c>
      <c r="B177" s="27" t="s">
        <v>199</v>
      </c>
      <c r="C177" s="26">
        <v>2288</v>
      </c>
      <c r="D177" s="186">
        <v>0</v>
      </c>
      <c r="E177" s="186">
        <v>0</v>
      </c>
      <c r="F177" s="367">
        <f>IF(C177&lt;972,E177+44,E177)</f>
        <v>0</v>
      </c>
      <c r="G177" s="367">
        <v>0</v>
      </c>
      <c r="H177" s="367">
        <v>0</v>
      </c>
      <c r="I177" s="534">
        <f t="shared" si="10"/>
        <v>781</v>
      </c>
      <c r="J177" s="459">
        <v>0</v>
      </c>
      <c r="K177" s="459">
        <f>D177*0.09</f>
        <v>0</v>
      </c>
      <c r="L177" s="459">
        <v>0</v>
      </c>
      <c r="M177" s="471">
        <f t="shared" si="9"/>
        <v>2288</v>
      </c>
      <c r="N177" s="28">
        <v>0</v>
      </c>
      <c r="O177" s="26">
        <v>0</v>
      </c>
      <c r="P177" s="26">
        <v>0</v>
      </c>
      <c r="Q177" s="472"/>
    </row>
    <row r="178" spans="1:17" ht="12.75">
      <c r="A178" s="26">
        <v>783</v>
      </c>
      <c r="B178" s="27" t="s">
        <v>200</v>
      </c>
      <c r="C178" s="26">
        <v>971</v>
      </c>
      <c r="D178" s="186">
        <v>170</v>
      </c>
      <c r="E178" s="535">
        <v>216</v>
      </c>
      <c r="F178" s="367">
        <v>261</v>
      </c>
      <c r="G178" s="459">
        <v>327</v>
      </c>
      <c r="H178" s="459">
        <v>350</v>
      </c>
      <c r="I178" s="534">
        <f t="shared" si="10"/>
        <v>783</v>
      </c>
      <c r="J178" s="459">
        <v>0</v>
      </c>
      <c r="K178" s="459">
        <v>0</v>
      </c>
      <c r="L178" s="459">
        <v>0</v>
      </c>
      <c r="M178" s="471">
        <f t="shared" si="9"/>
        <v>1298</v>
      </c>
      <c r="N178" s="28">
        <v>0</v>
      </c>
      <c r="O178" s="26">
        <v>0</v>
      </c>
      <c r="P178" s="26">
        <v>0</v>
      </c>
      <c r="Q178" s="472"/>
    </row>
    <row r="179" spans="1:17" ht="12.75">
      <c r="A179" s="26">
        <v>784</v>
      </c>
      <c r="B179" s="542" t="s">
        <v>404</v>
      </c>
      <c r="C179" s="543">
        <v>1600</v>
      </c>
      <c r="D179" s="540">
        <v>88</v>
      </c>
      <c r="E179" s="540">
        <v>88</v>
      </c>
      <c r="F179" s="496">
        <v>88</v>
      </c>
      <c r="G179" s="496">
        <v>88</v>
      </c>
      <c r="H179" s="496">
        <v>88</v>
      </c>
      <c r="I179" s="541">
        <f t="shared" si="10"/>
        <v>784</v>
      </c>
      <c r="J179" s="496">
        <v>0</v>
      </c>
      <c r="K179" s="496">
        <v>116</v>
      </c>
      <c r="L179" s="496">
        <v>233</v>
      </c>
      <c r="M179" s="471">
        <f t="shared" si="9"/>
        <v>1921</v>
      </c>
      <c r="N179" s="28">
        <v>0</v>
      </c>
      <c r="O179" s="26">
        <v>0</v>
      </c>
      <c r="P179" s="26">
        <v>0</v>
      </c>
      <c r="Q179" s="472"/>
    </row>
    <row r="180" spans="1:17" ht="12.75">
      <c r="A180" s="543">
        <v>785</v>
      </c>
      <c r="B180" s="542" t="s">
        <v>405</v>
      </c>
      <c r="C180" s="543">
        <v>1782</v>
      </c>
      <c r="D180" s="540">
        <v>64</v>
      </c>
      <c r="E180" s="540">
        <v>64</v>
      </c>
      <c r="F180" s="496">
        <v>64</v>
      </c>
      <c r="G180" s="496">
        <v>64</v>
      </c>
      <c r="H180" s="496">
        <v>64</v>
      </c>
      <c r="I180" s="541">
        <f t="shared" si="10"/>
        <v>785</v>
      </c>
      <c r="J180" s="496"/>
      <c r="K180" s="496">
        <v>194</v>
      </c>
      <c r="L180" s="496">
        <v>388</v>
      </c>
      <c r="M180" s="471">
        <f t="shared" si="9"/>
        <v>2234</v>
      </c>
      <c r="N180" s="28">
        <v>17</v>
      </c>
      <c r="O180" s="26">
        <v>0</v>
      </c>
      <c r="P180" s="26">
        <v>0</v>
      </c>
      <c r="Q180" s="472"/>
    </row>
    <row r="181" spans="1:17" ht="12.75">
      <c r="A181" s="543">
        <v>787</v>
      </c>
      <c r="B181" s="542" t="s">
        <v>406</v>
      </c>
      <c r="C181" s="543">
        <v>1700</v>
      </c>
      <c r="D181" s="540">
        <v>75</v>
      </c>
      <c r="E181" s="540">
        <v>75</v>
      </c>
      <c r="F181" s="496">
        <v>75</v>
      </c>
      <c r="G181" s="496">
        <v>75</v>
      </c>
      <c r="H181" s="496">
        <v>75</v>
      </c>
      <c r="I181" s="541">
        <f t="shared" si="10"/>
        <v>787</v>
      </c>
      <c r="J181" s="496"/>
      <c r="K181" s="496">
        <v>116</v>
      </c>
      <c r="L181" s="496">
        <v>233</v>
      </c>
      <c r="M181" s="471">
        <f t="shared" si="9"/>
        <v>2008</v>
      </c>
      <c r="N181" s="28">
        <v>17</v>
      </c>
      <c r="O181" s="26">
        <v>0</v>
      </c>
      <c r="P181" s="26">
        <v>0</v>
      </c>
      <c r="Q181" s="472"/>
    </row>
    <row r="182" spans="1:17" ht="12.75">
      <c r="A182" s="26">
        <v>788</v>
      </c>
      <c r="B182" s="27" t="s">
        <v>201</v>
      </c>
      <c r="C182" s="26">
        <v>2000</v>
      </c>
      <c r="D182" s="186">
        <v>36</v>
      </c>
      <c r="E182" s="186">
        <v>36</v>
      </c>
      <c r="F182" s="367">
        <f>IF(C182&lt;972,E182+44,E182)</f>
        <v>36</v>
      </c>
      <c r="G182" s="367">
        <v>36</v>
      </c>
      <c r="H182" s="367">
        <v>36</v>
      </c>
      <c r="I182" s="534">
        <f t="shared" si="10"/>
        <v>788</v>
      </c>
      <c r="J182" s="459">
        <v>0</v>
      </c>
      <c r="K182" s="459">
        <v>0</v>
      </c>
      <c r="L182" s="459">
        <v>0</v>
      </c>
      <c r="M182" s="471">
        <f t="shared" si="9"/>
        <v>2036</v>
      </c>
      <c r="N182" s="28">
        <v>0</v>
      </c>
      <c r="O182" s="26">
        <v>0</v>
      </c>
      <c r="P182" s="26">
        <v>0</v>
      </c>
      <c r="Q182" s="472"/>
    </row>
    <row r="183" spans="1:17" ht="12.75">
      <c r="A183" s="26">
        <v>789</v>
      </c>
      <c r="B183" s="27" t="s">
        <v>202</v>
      </c>
      <c r="C183" s="26">
        <v>971</v>
      </c>
      <c r="D183" s="186">
        <v>170</v>
      </c>
      <c r="E183" s="535">
        <v>216</v>
      </c>
      <c r="F183" s="367">
        <v>261</v>
      </c>
      <c r="G183" s="459">
        <v>327</v>
      </c>
      <c r="H183" s="459">
        <v>350</v>
      </c>
      <c r="I183" s="534">
        <f t="shared" si="10"/>
        <v>789</v>
      </c>
      <c r="J183" s="459">
        <v>0</v>
      </c>
      <c r="K183" s="459">
        <v>0</v>
      </c>
      <c r="L183" s="459">
        <v>0</v>
      </c>
      <c r="M183" s="471">
        <f t="shared" si="9"/>
        <v>1298</v>
      </c>
      <c r="N183" s="28">
        <v>0</v>
      </c>
      <c r="O183" s="26">
        <v>0</v>
      </c>
      <c r="P183" s="26">
        <v>0</v>
      </c>
      <c r="Q183" s="472"/>
    </row>
    <row r="184" spans="1:17" ht="12.75">
      <c r="A184" s="26">
        <v>791</v>
      </c>
      <c r="B184" s="27" t="s">
        <v>203</v>
      </c>
      <c r="C184" s="26">
        <v>2913</v>
      </c>
      <c r="D184" s="186">
        <v>0</v>
      </c>
      <c r="E184" s="186">
        <v>0</v>
      </c>
      <c r="F184" s="367">
        <f aca="true" t="shared" si="11" ref="F184:F190">IF(C184&lt;972,E184+44,E184)</f>
        <v>0</v>
      </c>
      <c r="G184" s="367">
        <v>0</v>
      </c>
      <c r="H184" s="367">
        <v>0</v>
      </c>
      <c r="I184" s="534">
        <f t="shared" si="10"/>
        <v>791</v>
      </c>
      <c r="J184" s="459">
        <v>0</v>
      </c>
      <c r="K184" s="495">
        <v>233</v>
      </c>
      <c r="L184" s="495">
        <v>466</v>
      </c>
      <c r="M184" s="471">
        <f t="shared" si="9"/>
        <v>3379</v>
      </c>
      <c r="N184" s="28">
        <v>17</v>
      </c>
      <c r="O184" s="26">
        <v>0</v>
      </c>
      <c r="P184" s="26">
        <v>0</v>
      </c>
      <c r="Q184" s="472"/>
    </row>
    <row r="185" spans="1:17" ht="12.75">
      <c r="A185" s="26">
        <v>792</v>
      </c>
      <c r="B185" s="27" t="s">
        <v>204</v>
      </c>
      <c r="C185" s="26">
        <v>2913</v>
      </c>
      <c r="D185" s="186">
        <v>0</v>
      </c>
      <c r="E185" s="186">
        <v>0</v>
      </c>
      <c r="F185" s="367">
        <f t="shared" si="11"/>
        <v>0</v>
      </c>
      <c r="G185" s="367">
        <v>0</v>
      </c>
      <c r="H185" s="367">
        <v>0</v>
      </c>
      <c r="I185" s="534">
        <f t="shared" si="10"/>
        <v>792</v>
      </c>
      <c r="J185" s="459">
        <v>0</v>
      </c>
      <c r="K185">
        <v>233</v>
      </c>
      <c r="L185">
        <v>466</v>
      </c>
      <c r="M185" s="471">
        <f t="shared" si="9"/>
        <v>3379</v>
      </c>
      <c r="N185" s="28">
        <v>0</v>
      </c>
      <c r="O185" s="26">
        <v>0</v>
      </c>
      <c r="P185" s="26">
        <v>0</v>
      </c>
      <c r="Q185" s="472"/>
    </row>
    <row r="186" spans="1:17" ht="12.75">
      <c r="A186" s="26">
        <v>793</v>
      </c>
      <c r="B186" s="27" t="s">
        <v>205</v>
      </c>
      <c r="C186" s="26">
        <v>2913</v>
      </c>
      <c r="D186" s="186">
        <v>0</v>
      </c>
      <c r="E186" s="186">
        <v>0</v>
      </c>
      <c r="F186" s="367">
        <f t="shared" si="11"/>
        <v>0</v>
      </c>
      <c r="G186" s="367">
        <v>0</v>
      </c>
      <c r="H186" s="367">
        <v>0</v>
      </c>
      <c r="I186" s="534">
        <f t="shared" si="10"/>
        <v>793</v>
      </c>
      <c r="J186" s="459">
        <v>0</v>
      </c>
      <c r="K186" s="495">
        <v>233</v>
      </c>
      <c r="L186" s="495">
        <v>466</v>
      </c>
      <c r="M186" s="471">
        <f t="shared" si="9"/>
        <v>3379</v>
      </c>
      <c r="N186" s="28">
        <v>0</v>
      </c>
      <c r="O186" s="26">
        <v>0</v>
      </c>
      <c r="P186" s="26">
        <v>0</v>
      </c>
      <c r="Q186" s="472"/>
    </row>
    <row r="187" spans="1:17" ht="12.75">
      <c r="A187" s="26">
        <v>794</v>
      </c>
      <c r="B187" s="27" t="s">
        <v>206</v>
      </c>
      <c r="C187" s="26">
        <v>1840</v>
      </c>
      <c r="D187" s="186">
        <v>57</v>
      </c>
      <c r="E187" s="186">
        <v>57</v>
      </c>
      <c r="F187" s="367">
        <f t="shared" si="11"/>
        <v>57</v>
      </c>
      <c r="G187" s="367">
        <v>57</v>
      </c>
      <c r="H187" s="367">
        <v>57</v>
      </c>
      <c r="I187" s="534">
        <f t="shared" si="10"/>
        <v>794</v>
      </c>
      <c r="J187" s="459">
        <v>0</v>
      </c>
      <c r="K187" s="459">
        <v>175</v>
      </c>
      <c r="L187" s="459">
        <v>349</v>
      </c>
      <c r="M187" s="471">
        <f t="shared" si="9"/>
        <v>2246</v>
      </c>
      <c r="N187" s="28">
        <v>0</v>
      </c>
      <c r="O187" s="26">
        <v>0</v>
      </c>
      <c r="P187" s="26">
        <v>0</v>
      </c>
      <c r="Q187" s="472"/>
    </row>
    <row r="188" spans="1:17" ht="12.75">
      <c r="A188" s="26">
        <v>795</v>
      </c>
      <c r="B188" s="27" t="s">
        <v>207</v>
      </c>
      <c r="C188" s="543">
        <v>1610</v>
      </c>
      <c r="D188" s="540">
        <v>107</v>
      </c>
      <c r="E188" s="540">
        <v>107</v>
      </c>
      <c r="F188" s="496">
        <f t="shared" si="11"/>
        <v>107</v>
      </c>
      <c r="G188" s="496">
        <v>107</v>
      </c>
      <c r="H188" s="496">
        <v>107</v>
      </c>
      <c r="I188" s="541">
        <f t="shared" si="10"/>
        <v>795</v>
      </c>
      <c r="J188" s="496">
        <v>0</v>
      </c>
      <c r="K188" s="496">
        <v>116</v>
      </c>
      <c r="L188" s="496">
        <v>233</v>
      </c>
      <c r="M188" s="471">
        <f t="shared" si="9"/>
        <v>1950</v>
      </c>
      <c r="N188" s="28">
        <v>0</v>
      </c>
      <c r="O188" s="26">
        <v>0</v>
      </c>
      <c r="P188" s="26">
        <v>0</v>
      </c>
      <c r="Q188" s="472"/>
    </row>
    <row r="189" spans="1:17" ht="12.75">
      <c r="A189" s="26">
        <v>796</v>
      </c>
      <c r="B189" s="27" t="s">
        <v>208</v>
      </c>
      <c r="C189" s="26">
        <v>1340</v>
      </c>
      <c r="D189" s="186">
        <v>122</v>
      </c>
      <c r="E189" s="186">
        <v>122</v>
      </c>
      <c r="F189" s="367">
        <f t="shared" si="11"/>
        <v>122</v>
      </c>
      <c r="G189" s="367">
        <v>122</v>
      </c>
      <c r="H189" s="367">
        <v>122</v>
      </c>
      <c r="I189" s="534">
        <f t="shared" si="10"/>
        <v>796</v>
      </c>
      <c r="J189" s="459">
        <v>0</v>
      </c>
      <c r="K189" s="496">
        <v>116</v>
      </c>
      <c r="L189" s="496">
        <v>233</v>
      </c>
      <c r="M189" s="471">
        <f t="shared" si="9"/>
        <v>1695</v>
      </c>
      <c r="N189" s="28">
        <v>0</v>
      </c>
      <c r="O189" s="26">
        <v>0</v>
      </c>
      <c r="P189" s="26">
        <v>0</v>
      </c>
      <c r="Q189" s="472"/>
    </row>
    <row r="190" spans="1:17" ht="12.75">
      <c r="A190" s="26">
        <v>797</v>
      </c>
      <c r="B190" s="27" t="s">
        <v>209</v>
      </c>
      <c r="C190" s="26">
        <v>1170</v>
      </c>
      <c r="D190" s="186">
        <v>144</v>
      </c>
      <c r="E190" s="186">
        <v>144</v>
      </c>
      <c r="F190" s="367">
        <f t="shared" si="11"/>
        <v>144</v>
      </c>
      <c r="G190" s="367">
        <v>144</v>
      </c>
      <c r="H190" s="367">
        <v>144</v>
      </c>
      <c r="I190" s="534">
        <f t="shared" si="10"/>
        <v>797</v>
      </c>
      <c r="J190" s="459">
        <v>0</v>
      </c>
      <c r="K190" s="459">
        <v>0</v>
      </c>
      <c r="L190" s="459">
        <v>0</v>
      </c>
      <c r="M190" s="471">
        <f t="shared" si="9"/>
        <v>1314</v>
      </c>
      <c r="N190" s="28">
        <v>0</v>
      </c>
      <c r="O190" s="26">
        <v>0</v>
      </c>
      <c r="P190" s="26">
        <v>0</v>
      </c>
      <c r="Q190" s="472"/>
    </row>
    <row r="191" spans="1:17" ht="12.75">
      <c r="A191" s="26">
        <v>798</v>
      </c>
      <c r="B191" s="27" t="s">
        <v>210</v>
      </c>
      <c r="C191" s="26">
        <v>961</v>
      </c>
      <c r="D191" s="186">
        <v>170</v>
      </c>
      <c r="E191" s="535">
        <v>216</v>
      </c>
      <c r="F191" s="367">
        <v>261</v>
      </c>
      <c r="G191" s="459">
        <v>327</v>
      </c>
      <c r="H191" s="459">
        <v>350</v>
      </c>
      <c r="I191" s="534">
        <f t="shared" si="10"/>
        <v>798</v>
      </c>
      <c r="J191" s="459">
        <v>0</v>
      </c>
      <c r="K191" s="459">
        <v>0</v>
      </c>
      <c r="L191" s="459">
        <v>0</v>
      </c>
      <c r="M191" s="471">
        <f t="shared" si="9"/>
        <v>1288</v>
      </c>
      <c r="N191" s="28">
        <v>0</v>
      </c>
      <c r="O191" s="26">
        <v>0</v>
      </c>
      <c r="P191" s="26">
        <v>0</v>
      </c>
      <c r="Q191" s="472"/>
    </row>
    <row r="192" spans="1:17" ht="12.75">
      <c r="A192" s="473">
        <v>800</v>
      </c>
      <c r="B192" s="474" t="s">
        <v>459</v>
      </c>
      <c r="C192" s="473">
        <v>1942</v>
      </c>
      <c r="D192" s="186"/>
      <c r="E192" s="535"/>
      <c r="F192" s="367"/>
      <c r="G192" s="459">
        <v>43</v>
      </c>
      <c r="H192" s="459">
        <v>43</v>
      </c>
      <c r="I192" s="534">
        <f t="shared" si="10"/>
        <v>800</v>
      </c>
      <c r="J192" s="459"/>
      <c r="K192" s="459"/>
      <c r="L192" s="459">
        <v>233</v>
      </c>
      <c r="M192" s="471">
        <f t="shared" si="9"/>
        <v>2218</v>
      </c>
      <c r="N192" s="544">
        <v>17</v>
      </c>
      <c r="O192" s="26">
        <v>0</v>
      </c>
      <c r="P192" s="26">
        <v>0</v>
      </c>
      <c r="Q192" s="472"/>
    </row>
    <row r="193" spans="1:17" ht="12.75">
      <c r="A193" s="473">
        <v>801</v>
      </c>
      <c r="B193" s="474" t="s">
        <v>460</v>
      </c>
      <c r="C193" s="473">
        <v>1782</v>
      </c>
      <c r="D193" s="186"/>
      <c r="E193" s="535"/>
      <c r="F193" s="367"/>
      <c r="G193" s="459">
        <v>64</v>
      </c>
      <c r="H193" s="459">
        <v>64</v>
      </c>
      <c r="I193" s="534">
        <f t="shared" si="10"/>
        <v>801</v>
      </c>
      <c r="J193" s="459"/>
      <c r="K193" s="459"/>
      <c r="L193" s="459">
        <v>233</v>
      </c>
      <c r="M193" s="471">
        <f t="shared" si="9"/>
        <v>2079</v>
      </c>
      <c r="N193" s="544">
        <v>17</v>
      </c>
      <c r="O193" s="26">
        <v>0</v>
      </c>
      <c r="P193" s="26">
        <v>0</v>
      </c>
      <c r="Q193" s="472"/>
    </row>
    <row r="194" spans="1:17" ht="12.75">
      <c r="A194" s="473">
        <v>802</v>
      </c>
      <c r="B194" s="474" t="s">
        <v>461</v>
      </c>
      <c r="C194" s="473">
        <v>1700</v>
      </c>
      <c r="D194" s="186"/>
      <c r="E194" s="535"/>
      <c r="F194" s="367"/>
      <c r="G194" s="459">
        <v>75</v>
      </c>
      <c r="H194" s="459">
        <v>75</v>
      </c>
      <c r="I194" s="534">
        <f t="shared" si="10"/>
        <v>802</v>
      </c>
      <c r="J194" s="459"/>
      <c r="K194" s="459"/>
      <c r="L194" s="459">
        <v>233</v>
      </c>
      <c r="M194" s="471">
        <f t="shared" si="9"/>
        <v>2008</v>
      </c>
      <c r="N194" s="544">
        <v>17</v>
      </c>
      <c r="O194" s="26">
        <v>0</v>
      </c>
      <c r="P194" s="26">
        <v>0</v>
      </c>
      <c r="Q194" s="472"/>
    </row>
    <row r="195" spans="1:17" s="537" customFormat="1" ht="12.75">
      <c r="A195" s="473">
        <v>804</v>
      </c>
      <c r="B195" s="474" t="s">
        <v>423</v>
      </c>
      <c r="C195" s="473">
        <v>971</v>
      </c>
      <c r="D195" s="475">
        <v>170</v>
      </c>
      <c r="E195" s="503">
        <v>216</v>
      </c>
      <c r="F195" s="476">
        <v>261</v>
      </c>
      <c r="G195" s="459">
        <v>327</v>
      </c>
      <c r="H195" s="459">
        <v>350</v>
      </c>
      <c r="I195" s="476">
        <f t="shared" si="10"/>
        <v>804</v>
      </c>
      <c r="J195" s="460">
        <v>0</v>
      </c>
      <c r="K195" s="460">
        <v>0</v>
      </c>
      <c r="L195" s="477">
        <v>0</v>
      </c>
      <c r="M195" s="471">
        <f aca="true" t="shared" si="12" ref="M195:M258">C195+G195+L195</f>
        <v>1298</v>
      </c>
      <c r="N195" s="473">
        <v>0</v>
      </c>
      <c r="O195" s="473">
        <v>413</v>
      </c>
      <c r="P195" s="479">
        <v>0</v>
      </c>
      <c r="Q195" s="479"/>
    </row>
    <row r="196" spans="1:17" ht="12.75">
      <c r="A196" s="26">
        <v>808</v>
      </c>
      <c r="B196" s="27" t="s">
        <v>211</v>
      </c>
      <c r="C196" s="26">
        <v>1942</v>
      </c>
      <c r="D196" s="186">
        <v>43</v>
      </c>
      <c r="E196" s="186">
        <v>43</v>
      </c>
      <c r="F196" s="367">
        <f>IF(C196&lt;972,E196+44,E196)</f>
        <v>43</v>
      </c>
      <c r="G196" s="367">
        <v>43</v>
      </c>
      <c r="H196" s="367">
        <v>43</v>
      </c>
      <c r="I196" s="534">
        <f t="shared" si="10"/>
        <v>808</v>
      </c>
      <c r="J196" s="459">
        <v>0</v>
      </c>
      <c r="K196" s="496">
        <v>116</v>
      </c>
      <c r="L196" s="496">
        <v>233</v>
      </c>
      <c r="M196" s="471">
        <f t="shared" si="12"/>
        <v>2218</v>
      </c>
      <c r="N196" s="28">
        <v>0</v>
      </c>
      <c r="O196" s="26">
        <v>0</v>
      </c>
      <c r="P196" s="26">
        <v>669</v>
      </c>
      <c r="Q196" s="472"/>
    </row>
    <row r="197" spans="1:17" ht="12.75">
      <c r="A197" s="26">
        <v>809</v>
      </c>
      <c r="B197" s="27" t="s">
        <v>212</v>
      </c>
      <c r="C197" s="26">
        <v>1782</v>
      </c>
      <c r="D197" s="186">
        <v>64</v>
      </c>
      <c r="E197" s="186">
        <v>64</v>
      </c>
      <c r="F197" s="367">
        <f>IF(C197&lt;972,E197+44,E197)</f>
        <v>64</v>
      </c>
      <c r="G197" s="367">
        <v>64</v>
      </c>
      <c r="H197" s="367">
        <v>64</v>
      </c>
      <c r="I197" s="534">
        <f t="shared" si="10"/>
        <v>809</v>
      </c>
      <c r="J197" s="459">
        <v>0</v>
      </c>
      <c r="K197" s="496">
        <v>116</v>
      </c>
      <c r="L197" s="496">
        <v>233</v>
      </c>
      <c r="M197" s="471">
        <f t="shared" si="12"/>
        <v>2079</v>
      </c>
      <c r="N197" s="28">
        <v>0</v>
      </c>
      <c r="O197" s="26">
        <v>0</v>
      </c>
      <c r="P197" s="26">
        <v>669</v>
      </c>
      <c r="Q197" s="472"/>
    </row>
    <row r="198" spans="1:17" ht="12.75">
      <c r="A198" s="26">
        <v>810</v>
      </c>
      <c r="B198" s="27" t="s">
        <v>213</v>
      </c>
      <c r="C198" s="26">
        <v>1692</v>
      </c>
      <c r="D198" s="186">
        <v>76</v>
      </c>
      <c r="E198" s="186">
        <v>76</v>
      </c>
      <c r="F198" s="367">
        <f>IF(C198&lt;972,E198+44,E198)</f>
        <v>76</v>
      </c>
      <c r="G198" s="367">
        <v>76</v>
      </c>
      <c r="H198" s="367">
        <v>76</v>
      </c>
      <c r="I198" s="534">
        <f aca="true" t="shared" si="13" ref="I198:I261">A198</f>
        <v>810</v>
      </c>
      <c r="J198" s="459">
        <v>0</v>
      </c>
      <c r="K198" s="496">
        <v>116</v>
      </c>
      <c r="L198" s="496">
        <v>233</v>
      </c>
      <c r="M198" s="471">
        <f t="shared" si="12"/>
        <v>2001</v>
      </c>
      <c r="N198" s="28">
        <v>0</v>
      </c>
      <c r="O198" s="26">
        <v>0</v>
      </c>
      <c r="P198" s="26">
        <v>663</v>
      </c>
      <c r="Q198" s="472"/>
    </row>
    <row r="199" spans="1:17" ht="12.75">
      <c r="A199" s="26">
        <v>811</v>
      </c>
      <c r="B199" s="27" t="s">
        <v>214</v>
      </c>
      <c r="C199" s="26">
        <v>1592</v>
      </c>
      <c r="D199" s="186">
        <v>89</v>
      </c>
      <c r="E199" s="186">
        <v>89</v>
      </c>
      <c r="F199" s="367">
        <f>IF(C199&lt;972,E199+44,E199)</f>
        <v>89</v>
      </c>
      <c r="G199" s="367">
        <v>89</v>
      </c>
      <c r="H199" s="367">
        <v>89</v>
      </c>
      <c r="I199" s="534">
        <f t="shared" si="13"/>
        <v>811</v>
      </c>
      <c r="J199" s="459">
        <v>0</v>
      </c>
      <c r="K199" s="496">
        <v>116</v>
      </c>
      <c r="L199" s="496">
        <v>233</v>
      </c>
      <c r="M199" s="471">
        <f t="shared" si="12"/>
        <v>1914</v>
      </c>
      <c r="N199" s="28">
        <v>0</v>
      </c>
      <c r="O199" s="26">
        <v>0</v>
      </c>
      <c r="P199" s="26">
        <v>657</v>
      </c>
      <c r="Q199" s="472"/>
    </row>
    <row r="200" spans="1:17" ht="12.75">
      <c r="A200" s="26">
        <v>812</v>
      </c>
      <c r="B200" s="27" t="s">
        <v>215</v>
      </c>
      <c r="C200" s="26">
        <v>1600</v>
      </c>
      <c r="D200" s="186">
        <v>88</v>
      </c>
      <c r="E200" s="186">
        <v>88</v>
      </c>
      <c r="F200" s="367">
        <f>IF(C200&lt;972,E200+44,E200)</f>
        <v>88</v>
      </c>
      <c r="G200" s="367">
        <v>88</v>
      </c>
      <c r="H200" s="367">
        <v>88</v>
      </c>
      <c r="I200" s="534">
        <f t="shared" si="13"/>
        <v>812</v>
      </c>
      <c r="J200" s="459">
        <v>0</v>
      </c>
      <c r="K200" s="496">
        <v>116</v>
      </c>
      <c r="L200" s="496">
        <v>233</v>
      </c>
      <c r="M200" s="471">
        <f t="shared" si="12"/>
        <v>1921</v>
      </c>
      <c r="N200" s="28">
        <v>0</v>
      </c>
      <c r="O200" s="26">
        <v>0</v>
      </c>
      <c r="P200" s="26">
        <v>657</v>
      </c>
      <c r="Q200" s="472"/>
    </row>
    <row r="201" spans="1:17" ht="12.75">
      <c r="A201" s="26">
        <v>813</v>
      </c>
      <c r="B201" s="27" t="s">
        <v>216</v>
      </c>
      <c r="C201" s="26">
        <v>971</v>
      </c>
      <c r="D201" s="186">
        <v>170</v>
      </c>
      <c r="E201" s="186">
        <v>170</v>
      </c>
      <c r="F201" s="367">
        <v>170</v>
      </c>
      <c r="G201" s="459">
        <v>214</v>
      </c>
      <c r="H201" s="459">
        <v>214</v>
      </c>
      <c r="I201" s="534">
        <f t="shared" si="13"/>
        <v>813</v>
      </c>
      <c r="J201" s="459">
        <v>0</v>
      </c>
      <c r="K201" s="459">
        <v>0</v>
      </c>
      <c r="L201" s="459">
        <v>0</v>
      </c>
      <c r="M201" s="471">
        <f t="shared" si="12"/>
        <v>1185</v>
      </c>
      <c r="N201" s="28">
        <v>0</v>
      </c>
      <c r="O201" s="26">
        <v>0</v>
      </c>
      <c r="P201" s="26">
        <v>620</v>
      </c>
      <c r="Q201" s="472"/>
    </row>
    <row r="202" spans="1:17" ht="12.75">
      <c r="A202" s="26">
        <v>814</v>
      </c>
      <c r="B202" s="27" t="s">
        <v>217</v>
      </c>
      <c r="C202" s="26">
        <v>971</v>
      </c>
      <c r="D202" s="186">
        <v>170</v>
      </c>
      <c r="E202" s="186">
        <v>170</v>
      </c>
      <c r="F202" s="367">
        <v>170</v>
      </c>
      <c r="G202" s="459">
        <v>214</v>
      </c>
      <c r="H202" s="459">
        <v>214</v>
      </c>
      <c r="I202" s="534">
        <f t="shared" si="13"/>
        <v>814</v>
      </c>
      <c r="J202" s="459">
        <v>0</v>
      </c>
      <c r="K202" s="459">
        <v>0</v>
      </c>
      <c r="L202" s="459">
        <v>0</v>
      </c>
      <c r="M202" s="471">
        <f t="shared" si="12"/>
        <v>1185</v>
      </c>
      <c r="N202" s="28">
        <v>0</v>
      </c>
      <c r="O202" s="26">
        <v>0</v>
      </c>
      <c r="P202" s="26">
        <v>155</v>
      </c>
      <c r="Q202" s="472"/>
    </row>
    <row r="203" spans="1:17" ht="12.75">
      <c r="A203" s="26">
        <v>815</v>
      </c>
      <c r="B203" s="27" t="s">
        <v>218</v>
      </c>
      <c r="C203" s="26">
        <v>971</v>
      </c>
      <c r="D203" s="186">
        <v>170</v>
      </c>
      <c r="E203" s="186">
        <v>170</v>
      </c>
      <c r="F203" s="367">
        <v>170</v>
      </c>
      <c r="G203" s="459">
        <v>214</v>
      </c>
      <c r="H203" s="459">
        <v>214</v>
      </c>
      <c r="I203" s="534">
        <f t="shared" si="13"/>
        <v>815</v>
      </c>
      <c r="J203" s="459">
        <v>0</v>
      </c>
      <c r="K203" s="459">
        <v>0</v>
      </c>
      <c r="L203" s="459">
        <v>0</v>
      </c>
      <c r="M203" s="471">
        <f t="shared" si="12"/>
        <v>1185</v>
      </c>
      <c r="N203" s="28">
        <v>17</v>
      </c>
      <c r="O203" s="26">
        <v>0</v>
      </c>
      <c r="P203" s="26">
        <v>0</v>
      </c>
      <c r="Q203" s="472"/>
    </row>
    <row r="204" spans="1:17" ht="12.75">
      <c r="A204" s="26">
        <v>816</v>
      </c>
      <c r="B204" s="27" t="s">
        <v>219</v>
      </c>
      <c r="C204" s="26">
        <v>1600</v>
      </c>
      <c r="D204" s="186">
        <v>88</v>
      </c>
      <c r="E204" s="186">
        <v>88</v>
      </c>
      <c r="F204" s="367">
        <f>IF(C204&lt;972,E204+44,E204)</f>
        <v>88</v>
      </c>
      <c r="G204" s="367">
        <v>88</v>
      </c>
      <c r="H204" s="367">
        <v>88</v>
      </c>
      <c r="I204" s="534">
        <f t="shared" si="13"/>
        <v>816</v>
      </c>
      <c r="J204" s="459">
        <v>0</v>
      </c>
      <c r="K204" s="496">
        <v>116</v>
      </c>
      <c r="L204" s="496">
        <v>233</v>
      </c>
      <c r="M204" s="471">
        <f t="shared" si="12"/>
        <v>1921</v>
      </c>
      <c r="N204" s="28">
        <v>17</v>
      </c>
      <c r="O204" s="26">
        <v>0</v>
      </c>
      <c r="P204" s="26">
        <v>0</v>
      </c>
      <c r="Q204" s="472"/>
    </row>
    <row r="205" spans="1:17" ht="12.75">
      <c r="A205" s="26">
        <v>817</v>
      </c>
      <c r="B205" s="27" t="s">
        <v>220</v>
      </c>
      <c r="C205" s="26">
        <v>1782</v>
      </c>
      <c r="D205" s="186">
        <v>64</v>
      </c>
      <c r="E205" s="186">
        <v>64</v>
      </c>
      <c r="F205" s="367">
        <f>IF(C205&lt;972,E205+44,E205)</f>
        <v>64</v>
      </c>
      <c r="G205" s="367">
        <v>64</v>
      </c>
      <c r="H205" s="367">
        <v>64</v>
      </c>
      <c r="I205" s="534">
        <f t="shared" si="13"/>
        <v>817</v>
      </c>
      <c r="J205" s="459">
        <v>0</v>
      </c>
      <c r="K205" s="459">
        <v>175</v>
      </c>
      <c r="L205" s="459">
        <v>349</v>
      </c>
      <c r="M205" s="471">
        <f t="shared" si="12"/>
        <v>2195</v>
      </c>
      <c r="N205" s="28">
        <v>0</v>
      </c>
      <c r="O205" s="26">
        <v>0</v>
      </c>
      <c r="P205" s="26">
        <v>839</v>
      </c>
      <c r="Q205" s="472"/>
    </row>
    <row r="206" spans="1:17" ht="12.75">
      <c r="A206" s="26">
        <v>818</v>
      </c>
      <c r="B206" s="27" t="s">
        <v>221</v>
      </c>
      <c r="C206" s="26">
        <v>971</v>
      </c>
      <c r="D206" s="186">
        <v>170</v>
      </c>
      <c r="E206" s="186">
        <v>170</v>
      </c>
      <c r="F206" s="367">
        <v>170</v>
      </c>
      <c r="G206" s="459">
        <v>214</v>
      </c>
      <c r="H206" s="459">
        <v>214</v>
      </c>
      <c r="I206" s="534">
        <f t="shared" si="13"/>
        <v>818</v>
      </c>
      <c r="J206" s="459">
        <v>0</v>
      </c>
      <c r="K206" s="459">
        <v>0</v>
      </c>
      <c r="L206" s="459">
        <v>0</v>
      </c>
      <c r="M206" s="471">
        <f t="shared" si="12"/>
        <v>1185</v>
      </c>
      <c r="N206" s="28">
        <v>0</v>
      </c>
      <c r="O206" s="26">
        <v>0</v>
      </c>
      <c r="P206" s="26">
        <v>659</v>
      </c>
      <c r="Q206" s="472"/>
    </row>
    <row r="207" spans="1:17" ht="12.75">
      <c r="A207" s="26">
        <v>819</v>
      </c>
      <c r="B207" s="27" t="s">
        <v>222</v>
      </c>
      <c r="C207" s="26">
        <v>971</v>
      </c>
      <c r="D207" s="186">
        <v>170</v>
      </c>
      <c r="E207" s="186">
        <v>170</v>
      </c>
      <c r="F207" s="367">
        <v>170</v>
      </c>
      <c r="G207" s="459">
        <v>214</v>
      </c>
      <c r="H207" s="459">
        <v>214</v>
      </c>
      <c r="I207" s="534">
        <f t="shared" si="13"/>
        <v>819</v>
      </c>
      <c r="J207" s="459">
        <v>0</v>
      </c>
      <c r="K207" s="459">
        <v>0</v>
      </c>
      <c r="L207" s="459">
        <v>0</v>
      </c>
      <c r="M207" s="471">
        <f t="shared" si="12"/>
        <v>1185</v>
      </c>
      <c r="N207" s="28">
        <v>0</v>
      </c>
      <c r="O207" s="26">
        <v>0</v>
      </c>
      <c r="P207" s="26">
        <v>155</v>
      </c>
      <c r="Q207" s="472"/>
    </row>
    <row r="208" spans="1:17" ht="12.75">
      <c r="A208" s="26">
        <v>820</v>
      </c>
      <c r="B208" s="27" t="s">
        <v>223</v>
      </c>
      <c r="C208" s="26">
        <v>1692</v>
      </c>
      <c r="D208" s="186">
        <v>76</v>
      </c>
      <c r="E208" s="186">
        <v>76</v>
      </c>
      <c r="F208" s="367">
        <f>IF(C208&lt;972,E208+44,E208)</f>
        <v>76</v>
      </c>
      <c r="G208" s="367">
        <v>76</v>
      </c>
      <c r="H208" s="367">
        <v>76</v>
      </c>
      <c r="I208" s="534">
        <f t="shared" si="13"/>
        <v>820</v>
      </c>
      <c r="J208" s="459">
        <v>0</v>
      </c>
      <c r="K208" s="496">
        <v>136</v>
      </c>
      <c r="L208" s="496">
        <v>272</v>
      </c>
      <c r="M208" s="471">
        <f t="shared" si="12"/>
        <v>2040</v>
      </c>
      <c r="N208" s="28">
        <v>0</v>
      </c>
      <c r="O208" s="26">
        <v>0</v>
      </c>
      <c r="P208" s="26">
        <v>839</v>
      </c>
      <c r="Q208" s="472"/>
    </row>
    <row r="209" spans="1:17" ht="12.75">
      <c r="A209" s="26">
        <v>821</v>
      </c>
      <c r="B209" s="27" t="s">
        <v>224</v>
      </c>
      <c r="C209" s="26">
        <v>1592</v>
      </c>
      <c r="D209" s="186">
        <v>89</v>
      </c>
      <c r="E209" s="186">
        <v>89</v>
      </c>
      <c r="F209" s="367">
        <f>IF(C209&lt;972,E209+44,E209)</f>
        <v>89</v>
      </c>
      <c r="G209" s="367">
        <v>89</v>
      </c>
      <c r="H209" s="367">
        <v>89</v>
      </c>
      <c r="I209" s="534">
        <f t="shared" si="13"/>
        <v>821</v>
      </c>
      <c r="J209" s="459">
        <v>0</v>
      </c>
      <c r="K209" s="496">
        <v>116</v>
      </c>
      <c r="L209" s="496">
        <v>233</v>
      </c>
      <c r="M209" s="471">
        <f t="shared" si="12"/>
        <v>1914</v>
      </c>
      <c r="N209" s="28">
        <v>0</v>
      </c>
      <c r="O209" s="26">
        <v>0</v>
      </c>
      <c r="P209" s="26">
        <v>839</v>
      </c>
      <c r="Q209" s="472"/>
    </row>
    <row r="210" spans="1:17" ht="12.75">
      <c r="A210" s="26">
        <v>822</v>
      </c>
      <c r="B210" s="27" t="s">
        <v>225</v>
      </c>
      <c r="C210" s="26">
        <v>971</v>
      </c>
      <c r="D210" s="186">
        <v>170</v>
      </c>
      <c r="E210" s="535">
        <v>216</v>
      </c>
      <c r="F210" s="367">
        <v>261</v>
      </c>
      <c r="G210" s="459">
        <v>327</v>
      </c>
      <c r="H210" s="459">
        <v>350</v>
      </c>
      <c r="I210" s="534">
        <f t="shared" si="13"/>
        <v>822</v>
      </c>
      <c r="J210" s="459">
        <v>0</v>
      </c>
      <c r="K210" s="459">
        <v>0</v>
      </c>
      <c r="L210" s="459">
        <v>0</v>
      </c>
      <c r="M210" s="471">
        <f t="shared" si="12"/>
        <v>1298</v>
      </c>
      <c r="N210" s="28">
        <v>0</v>
      </c>
      <c r="O210" s="26">
        <v>0</v>
      </c>
      <c r="P210" s="26">
        <v>155</v>
      </c>
      <c r="Q210" s="472"/>
    </row>
    <row r="211" spans="1:17" ht="12.75">
      <c r="A211" s="26">
        <v>823</v>
      </c>
      <c r="B211" s="27" t="s">
        <v>226</v>
      </c>
      <c r="C211" s="26">
        <v>1700</v>
      </c>
      <c r="D211" s="186">
        <v>75</v>
      </c>
      <c r="E211" s="186">
        <v>75</v>
      </c>
      <c r="F211" s="367">
        <f>IF(C211&lt;972,E211+44,E211)</f>
        <v>75</v>
      </c>
      <c r="G211" s="367">
        <v>75</v>
      </c>
      <c r="H211" s="367">
        <v>75</v>
      </c>
      <c r="I211" s="534">
        <f t="shared" si="13"/>
        <v>823</v>
      </c>
      <c r="J211" s="459">
        <v>0</v>
      </c>
      <c r="K211" s="496">
        <v>116</v>
      </c>
      <c r="L211" s="496">
        <v>233</v>
      </c>
      <c r="M211" s="471">
        <f t="shared" si="12"/>
        <v>2008</v>
      </c>
      <c r="N211" s="28">
        <v>0</v>
      </c>
      <c r="O211" s="26">
        <v>0</v>
      </c>
      <c r="P211" s="26">
        <v>657</v>
      </c>
      <c r="Q211" s="472"/>
    </row>
    <row r="212" spans="1:17" ht="12.75">
      <c r="A212" s="26">
        <v>824</v>
      </c>
      <c r="B212" s="27" t="s">
        <v>227</v>
      </c>
      <c r="C212" s="26">
        <v>1400</v>
      </c>
      <c r="D212" s="186">
        <v>114</v>
      </c>
      <c r="E212" s="186">
        <v>114</v>
      </c>
      <c r="F212" s="367">
        <f>IF(C212&lt;972,E212+44,E212)</f>
        <v>114</v>
      </c>
      <c r="G212" s="367">
        <v>114</v>
      </c>
      <c r="H212" s="367">
        <v>114</v>
      </c>
      <c r="I212" s="534">
        <f t="shared" si="13"/>
        <v>824</v>
      </c>
      <c r="J212" s="459">
        <v>0</v>
      </c>
      <c r="K212" s="496">
        <v>116</v>
      </c>
      <c r="L212" s="496">
        <v>233</v>
      </c>
      <c r="M212" s="471">
        <f t="shared" si="12"/>
        <v>1747</v>
      </c>
      <c r="N212" s="28">
        <v>0</v>
      </c>
      <c r="O212" s="26">
        <v>0</v>
      </c>
      <c r="P212" s="26">
        <v>657</v>
      </c>
      <c r="Q212" s="472"/>
    </row>
    <row r="213" spans="1:17" ht="12.75">
      <c r="A213" s="26">
        <v>825</v>
      </c>
      <c r="B213" s="27" t="s">
        <v>228</v>
      </c>
      <c r="C213" s="26">
        <v>1300</v>
      </c>
      <c r="D213" s="186">
        <v>127</v>
      </c>
      <c r="E213" s="186">
        <v>127</v>
      </c>
      <c r="F213" s="367">
        <f>IF(C213&lt;972,E213+44,E213)</f>
        <v>127</v>
      </c>
      <c r="G213" s="367">
        <v>127</v>
      </c>
      <c r="H213" s="367">
        <v>127</v>
      </c>
      <c r="I213" s="534">
        <f t="shared" si="13"/>
        <v>825</v>
      </c>
      <c r="J213" s="459">
        <v>0</v>
      </c>
      <c r="K213" s="496">
        <v>116</v>
      </c>
      <c r="L213" s="496">
        <v>233</v>
      </c>
      <c r="M213" s="471">
        <f t="shared" si="12"/>
        <v>1660</v>
      </c>
      <c r="N213" s="28">
        <v>0</v>
      </c>
      <c r="O213" s="26">
        <v>0</v>
      </c>
      <c r="P213" s="26">
        <v>657</v>
      </c>
      <c r="Q213" s="472"/>
    </row>
    <row r="214" spans="1:17" ht="12.75">
      <c r="A214" s="26">
        <v>826</v>
      </c>
      <c r="B214" s="27" t="s">
        <v>229</v>
      </c>
      <c r="C214" s="26">
        <v>1250</v>
      </c>
      <c r="D214" s="186">
        <v>134</v>
      </c>
      <c r="E214" s="186">
        <v>134</v>
      </c>
      <c r="F214" s="367">
        <f>IF(C214&lt;972,E214+44,E214)</f>
        <v>134</v>
      </c>
      <c r="G214" s="367">
        <v>134</v>
      </c>
      <c r="H214" s="367">
        <v>134</v>
      </c>
      <c r="I214" s="534">
        <f t="shared" si="13"/>
        <v>826</v>
      </c>
      <c r="J214" s="459">
        <v>0</v>
      </c>
      <c r="K214" s="496">
        <v>116</v>
      </c>
      <c r="L214" s="496">
        <v>233</v>
      </c>
      <c r="M214" s="471">
        <f t="shared" si="12"/>
        <v>1617</v>
      </c>
      <c r="N214" s="28">
        <v>0</v>
      </c>
      <c r="O214" s="26">
        <v>0</v>
      </c>
      <c r="P214" s="26">
        <v>657</v>
      </c>
      <c r="Q214" s="472"/>
    </row>
    <row r="215" spans="1:17" ht="12.75">
      <c r="A215" s="26">
        <v>827</v>
      </c>
      <c r="B215" s="542" t="s">
        <v>413</v>
      </c>
      <c r="C215" s="543">
        <v>1942</v>
      </c>
      <c r="D215" s="540">
        <v>43</v>
      </c>
      <c r="E215" s="540">
        <v>43</v>
      </c>
      <c r="F215" s="496">
        <v>43</v>
      </c>
      <c r="G215" s="496">
        <v>43</v>
      </c>
      <c r="H215" s="496">
        <v>43</v>
      </c>
      <c r="I215" s="541">
        <f t="shared" si="13"/>
        <v>827</v>
      </c>
      <c r="J215" s="496">
        <v>0</v>
      </c>
      <c r="K215" s="496">
        <v>194</v>
      </c>
      <c r="L215" s="496">
        <v>388</v>
      </c>
      <c r="M215" s="471">
        <f t="shared" si="12"/>
        <v>2373</v>
      </c>
      <c r="N215" s="28">
        <v>0</v>
      </c>
      <c r="O215" s="26">
        <v>0</v>
      </c>
      <c r="P215" s="26">
        <v>0</v>
      </c>
      <c r="Q215" s="472"/>
    </row>
    <row r="216" spans="1:17" ht="12.75">
      <c r="A216" s="26">
        <v>828</v>
      </c>
      <c r="B216" s="27" t="s">
        <v>230</v>
      </c>
      <c r="C216" s="26">
        <v>2913</v>
      </c>
      <c r="D216" s="186">
        <v>0</v>
      </c>
      <c r="E216" s="186">
        <v>0</v>
      </c>
      <c r="F216" s="367">
        <f>IF(C216&lt;972,E216+44,E216)</f>
        <v>0</v>
      </c>
      <c r="G216" s="367">
        <v>0</v>
      </c>
      <c r="H216" s="367">
        <v>0</v>
      </c>
      <c r="I216" s="534">
        <f t="shared" si="13"/>
        <v>828</v>
      </c>
      <c r="J216" s="459">
        <v>0</v>
      </c>
      <c r="K216" s="459">
        <v>0</v>
      </c>
      <c r="L216" s="459">
        <v>0</v>
      </c>
      <c r="M216" s="471">
        <f t="shared" si="12"/>
        <v>2913</v>
      </c>
      <c r="N216" s="28">
        <v>0</v>
      </c>
      <c r="O216" s="26">
        <v>0</v>
      </c>
      <c r="P216" s="26">
        <v>0</v>
      </c>
      <c r="Q216" s="472"/>
    </row>
    <row r="217" spans="1:17" ht="12.75">
      <c r="A217" s="26">
        <v>829</v>
      </c>
      <c r="B217" s="542" t="s">
        <v>462</v>
      </c>
      <c r="C217" s="543">
        <v>1782</v>
      </c>
      <c r="D217" s="540">
        <v>64</v>
      </c>
      <c r="E217" s="540">
        <v>64</v>
      </c>
      <c r="F217" s="367">
        <v>64</v>
      </c>
      <c r="G217" s="367">
        <v>64</v>
      </c>
      <c r="H217" s="367">
        <v>64</v>
      </c>
      <c r="I217" s="534">
        <f t="shared" si="13"/>
        <v>829</v>
      </c>
      <c r="J217" s="459">
        <v>0</v>
      </c>
      <c r="K217" s="496">
        <v>175</v>
      </c>
      <c r="L217" s="496">
        <v>349</v>
      </c>
      <c r="M217" s="471">
        <f t="shared" si="12"/>
        <v>2195</v>
      </c>
      <c r="N217" s="28">
        <v>0</v>
      </c>
      <c r="O217" s="26">
        <v>0</v>
      </c>
      <c r="P217" s="26">
        <v>0</v>
      </c>
      <c r="Q217" s="472"/>
    </row>
    <row r="218" spans="1:17" ht="12.75">
      <c r="A218" s="26">
        <v>830</v>
      </c>
      <c r="B218" s="27" t="s">
        <v>231</v>
      </c>
      <c r="C218" s="26">
        <v>1740</v>
      </c>
      <c r="D218" s="186">
        <v>70</v>
      </c>
      <c r="E218" s="186">
        <v>70</v>
      </c>
      <c r="F218" s="367">
        <f>IF(C218&lt;972,E218+44,E218)</f>
        <v>70</v>
      </c>
      <c r="G218" s="367">
        <v>70</v>
      </c>
      <c r="H218" s="367">
        <v>70</v>
      </c>
      <c r="I218" s="534">
        <f t="shared" si="13"/>
        <v>830</v>
      </c>
      <c r="J218" s="459">
        <v>0</v>
      </c>
      <c r="K218" s="459">
        <v>0</v>
      </c>
      <c r="L218" s="459">
        <v>0</v>
      </c>
      <c r="M218" s="471">
        <f t="shared" si="12"/>
        <v>1810</v>
      </c>
      <c r="N218" s="28">
        <v>0</v>
      </c>
      <c r="O218" s="26">
        <v>0</v>
      </c>
      <c r="P218" s="26">
        <v>0</v>
      </c>
      <c r="Q218" s="472"/>
    </row>
    <row r="219" spans="1:17" ht="12.75">
      <c r="A219" s="26">
        <v>831</v>
      </c>
      <c r="B219" s="27" t="s">
        <v>232</v>
      </c>
      <c r="C219" s="26">
        <v>971</v>
      </c>
      <c r="D219" s="186">
        <v>170</v>
      </c>
      <c r="E219" s="535">
        <v>216</v>
      </c>
      <c r="F219" s="367">
        <v>261</v>
      </c>
      <c r="G219" s="459">
        <v>327</v>
      </c>
      <c r="H219" s="459">
        <v>350</v>
      </c>
      <c r="I219" s="534">
        <f t="shared" si="13"/>
        <v>831</v>
      </c>
      <c r="J219" s="459">
        <v>0</v>
      </c>
      <c r="K219" s="459">
        <v>0</v>
      </c>
      <c r="L219" s="459">
        <v>0</v>
      </c>
      <c r="M219" s="471">
        <f t="shared" si="12"/>
        <v>1298</v>
      </c>
      <c r="N219" s="28">
        <v>0</v>
      </c>
      <c r="O219" s="26">
        <v>0</v>
      </c>
      <c r="P219" s="26">
        <v>0</v>
      </c>
      <c r="Q219" s="472"/>
    </row>
    <row r="220" spans="1:17" ht="12.75">
      <c r="A220" s="543">
        <v>832</v>
      </c>
      <c r="B220" s="542" t="s">
        <v>414</v>
      </c>
      <c r="C220" s="543">
        <v>1700</v>
      </c>
      <c r="D220" s="540">
        <v>0</v>
      </c>
      <c r="E220" s="540">
        <v>0</v>
      </c>
      <c r="F220" s="496">
        <f>IF(C220&lt;972,E220+44,E220)</f>
        <v>0</v>
      </c>
      <c r="G220" s="496">
        <v>75</v>
      </c>
      <c r="H220" s="496">
        <v>75</v>
      </c>
      <c r="I220" s="541">
        <f t="shared" si="13"/>
        <v>832</v>
      </c>
      <c r="J220" s="496">
        <v>0</v>
      </c>
      <c r="K220" s="496">
        <v>116</v>
      </c>
      <c r="L220" s="496">
        <v>233</v>
      </c>
      <c r="M220" s="471">
        <f t="shared" si="12"/>
        <v>2008</v>
      </c>
      <c r="N220" s="28">
        <v>0</v>
      </c>
      <c r="O220" s="26">
        <v>0</v>
      </c>
      <c r="P220" s="26">
        <v>0</v>
      </c>
      <c r="Q220" s="472"/>
    </row>
    <row r="221" spans="1:17" ht="12.75">
      <c r="A221" s="26">
        <v>833</v>
      </c>
      <c r="B221" s="27" t="s">
        <v>233</v>
      </c>
      <c r="C221" s="26">
        <v>971</v>
      </c>
      <c r="D221" s="186">
        <v>170</v>
      </c>
      <c r="E221" s="535">
        <v>216</v>
      </c>
      <c r="F221" s="367">
        <v>261</v>
      </c>
      <c r="G221" s="459">
        <v>327</v>
      </c>
      <c r="H221" s="459">
        <v>350</v>
      </c>
      <c r="I221" s="534">
        <f t="shared" si="13"/>
        <v>833</v>
      </c>
      <c r="J221" s="459">
        <v>0</v>
      </c>
      <c r="K221" s="459">
        <v>0</v>
      </c>
      <c r="L221" s="459">
        <v>0</v>
      </c>
      <c r="M221" s="471">
        <f t="shared" si="12"/>
        <v>1298</v>
      </c>
      <c r="N221" s="28">
        <v>0</v>
      </c>
      <c r="O221" s="26">
        <v>0</v>
      </c>
      <c r="P221" s="26">
        <v>155</v>
      </c>
      <c r="Q221" s="472"/>
    </row>
    <row r="222" spans="1:17" ht="12.75">
      <c r="A222" s="26">
        <v>834</v>
      </c>
      <c r="B222" s="27" t="s">
        <v>234</v>
      </c>
      <c r="C222" s="26">
        <v>971</v>
      </c>
      <c r="D222" s="186">
        <v>170</v>
      </c>
      <c r="E222" s="535">
        <v>216</v>
      </c>
      <c r="F222" s="367">
        <v>261</v>
      </c>
      <c r="G222" s="459">
        <v>327</v>
      </c>
      <c r="H222" s="459">
        <v>350</v>
      </c>
      <c r="I222" s="534">
        <f t="shared" si="13"/>
        <v>834</v>
      </c>
      <c r="J222" s="459">
        <v>0</v>
      </c>
      <c r="K222" s="459">
        <v>0</v>
      </c>
      <c r="L222" s="459">
        <v>0</v>
      </c>
      <c r="M222" s="471">
        <f t="shared" si="12"/>
        <v>1298</v>
      </c>
      <c r="N222" s="28">
        <v>0</v>
      </c>
      <c r="O222" s="26">
        <v>0</v>
      </c>
      <c r="P222" s="26">
        <v>155</v>
      </c>
      <c r="Q222" s="472"/>
    </row>
    <row r="223" spans="1:17" ht="12.75">
      <c r="A223" s="26">
        <v>835</v>
      </c>
      <c r="B223" s="27" t="s">
        <v>235</v>
      </c>
      <c r="C223" s="26">
        <v>971</v>
      </c>
      <c r="D223" s="186">
        <v>170</v>
      </c>
      <c r="E223" s="535">
        <v>216</v>
      </c>
      <c r="F223" s="367">
        <v>261</v>
      </c>
      <c r="G223" s="459">
        <v>327</v>
      </c>
      <c r="H223" s="459">
        <v>350</v>
      </c>
      <c r="I223" s="534">
        <f t="shared" si="13"/>
        <v>835</v>
      </c>
      <c r="J223" s="459">
        <v>0</v>
      </c>
      <c r="K223" s="459">
        <v>0</v>
      </c>
      <c r="L223" s="459">
        <v>0</v>
      </c>
      <c r="M223" s="471">
        <f t="shared" si="12"/>
        <v>1298</v>
      </c>
      <c r="N223" s="28">
        <v>0</v>
      </c>
      <c r="O223" s="26">
        <v>0</v>
      </c>
      <c r="P223" s="26">
        <v>0</v>
      </c>
      <c r="Q223" s="472"/>
    </row>
    <row r="224" spans="1:17" ht="12.75">
      <c r="A224" s="26">
        <v>836</v>
      </c>
      <c r="B224" s="27" t="s">
        <v>236</v>
      </c>
      <c r="C224" s="26">
        <v>971</v>
      </c>
      <c r="D224" s="186">
        <v>170</v>
      </c>
      <c r="E224" s="535">
        <v>216</v>
      </c>
      <c r="F224" s="367">
        <v>261</v>
      </c>
      <c r="G224" s="459">
        <v>327</v>
      </c>
      <c r="H224" s="459">
        <v>350</v>
      </c>
      <c r="I224" s="534">
        <f t="shared" si="13"/>
        <v>836</v>
      </c>
      <c r="J224" s="459">
        <v>0</v>
      </c>
      <c r="K224" s="459">
        <v>0</v>
      </c>
      <c r="L224" s="459">
        <v>0</v>
      </c>
      <c r="M224" s="471">
        <f t="shared" si="12"/>
        <v>1298</v>
      </c>
      <c r="N224" s="28">
        <v>0</v>
      </c>
      <c r="O224" s="26">
        <v>0</v>
      </c>
      <c r="P224" s="26">
        <v>155</v>
      </c>
      <c r="Q224" s="472"/>
    </row>
    <row r="225" spans="1:17" ht="12.75">
      <c r="A225" s="26">
        <v>837</v>
      </c>
      <c r="B225" s="27" t="s">
        <v>237</v>
      </c>
      <c r="C225" s="26">
        <v>971</v>
      </c>
      <c r="D225" s="186">
        <v>170</v>
      </c>
      <c r="E225" s="535">
        <v>216</v>
      </c>
      <c r="F225" s="367">
        <v>261</v>
      </c>
      <c r="G225" s="459">
        <v>327</v>
      </c>
      <c r="H225" s="459">
        <v>350</v>
      </c>
      <c r="I225" s="534">
        <f t="shared" si="13"/>
        <v>837</v>
      </c>
      <c r="J225" s="459">
        <v>0</v>
      </c>
      <c r="K225" s="459">
        <v>0</v>
      </c>
      <c r="L225" s="459">
        <v>0</v>
      </c>
      <c r="M225" s="471">
        <f t="shared" si="12"/>
        <v>1298</v>
      </c>
      <c r="N225" s="28">
        <v>0</v>
      </c>
      <c r="O225" s="26">
        <v>0</v>
      </c>
      <c r="P225" s="26">
        <v>155</v>
      </c>
      <c r="Q225" s="472"/>
    </row>
    <row r="226" spans="1:17" ht="12.75">
      <c r="A226" s="26">
        <v>839</v>
      </c>
      <c r="B226" s="27" t="s">
        <v>238</v>
      </c>
      <c r="C226" s="26">
        <v>971</v>
      </c>
      <c r="D226" s="186">
        <v>170</v>
      </c>
      <c r="E226" s="535">
        <v>216</v>
      </c>
      <c r="F226" s="367">
        <v>261</v>
      </c>
      <c r="G226" s="459">
        <v>327</v>
      </c>
      <c r="H226" s="459">
        <v>350</v>
      </c>
      <c r="I226" s="534">
        <f t="shared" si="13"/>
        <v>839</v>
      </c>
      <c r="J226" s="459">
        <v>0</v>
      </c>
      <c r="K226" s="459">
        <v>0</v>
      </c>
      <c r="L226" s="459">
        <v>0</v>
      </c>
      <c r="M226" s="471">
        <f t="shared" si="12"/>
        <v>1298</v>
      </c>
      <c r="N226" s="28">
        <v>0</v>
      </c>
      <c r="O226" s="26">
        <v>0</v>
      </c>
      <c r="P226" s="26">
        <v>155</v>
      </c>
      <c r="Q226" s="472"/>
    </row>
    <row r="227" spans="1:17" ht="12.75">
      <c r="A227" s="26">
        <v>840</v>
      </c>
      <c r="B227" s="27" t="s">
        <v>239</v>
      </c>
      <c r="C227" s="26">
        <v>971</v>
      </c>
      <c r="D227" s="186">
        <v>170</v>
      </c>
      <c r="E227" s="535">
        <v>216</v>
      </c>
      <c r="F227" s="367">
        <v>261</v>
      </c>
      <c r="G227" s="459">
        <v>327</v>
      </c>
      <c r="H227" s="459">
        <v>350</v>
      </c>
      <c r="I227" s="534">
        <f t="shared" si="13"/>
        <v>840</v>
      </c>
      <c r="J227" s="459">
        <v>0</v>
      </c>
      <c r="K227" s="459">
        <v>0</v>
      </c>
      <c r="L227" s="459">
        <v>0</v>
      </c>
      <c r="M227" s="471">
        <f t="shared" si="12"/>
        <v>1298</v>
      </c>
      <c r="N227" s="28">
        <v>0</v>
      </c>
      <c r="O227" s="26">
        <v>0</v>
      </c>
      <c r="P227" s="26">
        <v>155</v>
      </c>
      <c r="Q227" s="472"/>
    </row>
    <row r="228" spans="1:17" s="495" customFormat="1" ht="12.75">
      <c r="A228" s="543">
        <v>841</v>
      </c>
      <c r="B228" s="542" t="s">
        <v>415</v>
      </c>
      <c r="C228" s="543">
        <v>1300</v>
      </c>
      <c r="D228" s="540">
        <v>127</v>
      </c>
      <c r="E228" s="540">
        <v>127</v>
      </c>
      <c r="F228" s="496">
        <v>127</v>
      </c>
      <c r="G228" s="496">
        <v>127</v>
      </c>
      <c r="H228" s="496">
        <v>127</v>
      </c>
      <c r="I228" s="541">
        <f t="shared" si="13"/>
        <v>841</v>
      </c>
      <c r="J228" s="496"/>
      <c r="K228" s="496">
        <v>116</v>
      </c>
      <c r="L228" s="496">
        <v>388</v>
      </c>
      <c r="M228" s="471">
        <f t="shared" si="12"/>
        <v>1815</v>
      </c>
      <c r="N228" s="545">
        <v>0</v>
      </c>
      <c r="O228" s="543">
        <v>0</v>
      </c>
      <c r="P228" s="543">
        <v>0</v>
      </c>
      <c r="Q228" s="546"/>
    </row>
    <row r="229" spans="1:17" ht="12.75">
      <c r="A229" s="26">
        <v>842</v>
      </c>
      <c r="B229" s="27" t="s">
        <v>240</v>
      </c>
      <c r="C229" s="26">
        <v>1500</v>
      </c>
      <c r="D229" s="186">
        <v>101</v>
      </c>
      <c r="E229" s="186">
        <v>101</v>
      </c>
      <c r="F229" s="367">
        <f>IF(C229&lt;972,E229+44,E229)</f>
        <v>101</v>
      </c>
      <c r="G229" s="367">
        <v>101</v>
      </c>
      <c r="H229" s="367">
        <v>101</v>
      </c>
      <c r="I229" s="534">
        <f t="shared" si="13"/>
        <v>842</v>
      </c>
      <c r="J229" s="459">
        <v>0</v>
      </c>
      <c r="K229" s="496">
        <v>194</v>
      </c>
      <c r="L229" s="496">
        <v>388</v>
      </c>
      <c r="M229" s="471">
        <f t="shared" si="12"/>
        <v>1989</v>
      </c>
      <c r="N229" s="28">
        <v>0</v>
      </c>
      <c r="O229" s="26">
        <v>0</v>
      </c>
      <c r="P229" s="26">
        <v>0</v>
      </c>
      <c r="Q229" s="472"/>
    </row>
    <row r="230" spans="1:17" ht="12.75">
      <c r="A230" s="26">
        <v>843</v>
      </c>
      <c r="B230" s="27" t="s">
        <v>241</v>
      </c>
      <c r="C230" s="26">
        <v>1250</v>
      </c>
      <c r="D230" s="186">
        <v>134</v>
      </c>
      <c r="E230" s="186">
        <v>134</v>
      </c>
      <c r="F230" s="367">
        <f>IF(C230&lt;972,E230+44,E230)</f>
        <v>134</v>
      </c>
      <c r="G230" s="367">
        <v>134</v>
      </c>
      <c r="H230" s="367">
        <v>134</v>
      </c>
      <c r="I230" s="534">
        <f t="shared" si="13"/>
        <v>843</v>
      </c>
      <c r="J230" s="459">
        <v>0</v>
      </c>
      <c r="K230" s="496">
        <v>116</v>
      </c>
      <c r="L230" s="496">
        <v>233</v>
      </c>
      <c r="M230" s="471">
        <f t="shared" si="12"/>
        <v>1617</v>
      </c>
      <c r="N230" s="28">
        <v>0</v>
      </c>
      <c r="O230" s="26">
        <v>0</v>
      </c>
      <c r="P230" s="26">
        <v>0</v>
      </c>
      <c r="Q230" s="472"/>
    </row>
    <row r="231" spans="1:17" ht="12.75">
      <c r="A231" s="26">
        <v>844</v>
      </c>
      <c r="B231" s="27" t="s">
        <v>242</v>
      </c>
      <c r="C231" s="26">
        <v>1660</v>
      </c>
      <c r="D231" s="186">
        <v>80</v>
      </c>
      <c r="E231" s="186">
        <v>80</v>
      </c>
      <c r="F231" s="367">
        <f>IF(C231&lt;972,E231+44,E231)</f>
        <v>80</v>
      </c>
      <c r="G231" s="367">
        <v>80</v>
      </c>
      <c r="H231" s="367">
        <v>80</v>
      </c>
      <c r="I231" s="534">
        <f t="shared" si="13"/>
        <v>844</v>
      </c>
      <c r="J231" s="459">
        <v>0</v>
      </c>
      <c r="K231" s="459">
        <v>0</v>
      </c>
      <c r="L231" s="459">
        <v>0</v>
      </c>
      <c r="M231" s="471">
        <f t="shared" si="12"/>
        <v>1740</v>
      </c>
      <c r="N231" s="28">
        <v>0</v>
      </c>
      <c r="O231" s="26">
        <v>0</v>
      </c>
      <c r="P231" s="26">
        <v>0</v>
      </c>
      <c r="Q231" s="472"/>
    </row>
    <row r="232" spans="1:17" ht="12.75">
      <c r="A232" s="26">
        <v>849</v>
      </c>
      <c r="B232" s="27" t="s">
        <v>243</v>
      </c>
      <c r="C232" s="26">
        <v>971</v>
      </c>
      <c r="D232" s="186">
        <v>170</v>
      </c>
      <c r="E232" s="535">
        <v>216</v>
      </c>
      <c r="F232" s="367">
        <v>261</v>
      </c>
      <c r="G232" s="459">
        <v>327</v>
      </c>
      <c r="H232" s="459">
        <v>350</v>
      </c>
      <c r="I232" s="534">
        <f t="shared" si="13"/>
        <v>849</v>
      </c>
      <c r="J232" s="459">
        <v>0</v>
      </c>
      <c r="K232" s="459">
        <v>0</v>
      </c>
      <c r="L232" s="459">
        <v>0</v>
      </c>
      <c r="M232" s="471">
        <f t="shared" si="12"/>
        <v>1298</v>
      </c>
      <c r="N232" s="28">
        <v>0</v>
      </c>
      <c r="O232" s="26">
        <v>0</v>
      </c>
      <c r="P232" s="26">
        <v>0</v>
      </c>
      <c r="Q232" s="472"/>
    </row>
    <row r="233" spans="1:17" ht="12.75">
      <c r="A233" s="26">
        <v>850</v>
      </c>
      <c r="B233" s="474" t="s">
        <v>463</v>
      </c>
      <c r="C233" s="26">
        <v>3146</v>
      </c>
      <c r="D233" s="186"/>
      <c r="E233" s="535"/>
      <c r="F233" s="367"/>
      <c r="G233" s="459">
        <v>0</v>
      </c>
      <c r="H233" s="459">
        <v>0</v>
      </c>
      <c r="I233" s="534">
        <f t="shared" si="13"/>
        <v>850</v>
      </c>
      <c r="J233" s="459">
        <v>0</v>
      </c>
      <c r="K233" s="459"/>
      <c r="L233" s="459">
        <v>466</v>
      </c>
      <c r="M233" s="471">
        <f t="shared" si="12"/>
        <v>3612</v>
      </c>
      <c r="N233" s="28">
        <v>0</v>
      </c>
      <c r="O233" s="26">
        <v>0</v>
      </c>
      <c r="P233" s="26"/>
      <c r="Q233" s="472"/>
    </row>
    <row r="234" spans="1:17" ht="12.75">
      <c r="A234" s="26">
        <v>851</v>
      </c>
      <c r="B234" s="474" t="s">
        <v>464</v>
      </c>
      <c r="C234" s="26">
        <v>2913</v>
      </c>
      <c r="D234" s="186"/>
      <c r="E234" s="535"/>
      <c r="F234" s="367"/>
      <c r="G234" s="459">
        <v>0</v>
      </c>
      <c r="H234" s="459">
        <v>0</v>
      </c>
      <c r="I234" s="534">
        <f t="shared" si="13"/>
        <v>851</v>
      </c>
      <c r="J234" s="459"/>
      <c r="K234" s="459"/>
      <c r="L234" s="459">
        <v>466</v>
      </c>
      <c r="M234" s="471">
        <f t="shared" si="12"/>
        <v>3379</v>
      </c>
      <c r="N234" s="28">
        <v>20</v>
      </c>
      <c r="O234" s="26">
        <v>0</v>
      </c>
      <c r="P234" s="26">
        <v>0</v>
      </c>
      <c r="Q234" s="472"/>
    </row>
    <row r="235" spans="1:17" ht="12.75">
      <c r="A235" s="26">
        <v>852</v>
      </c>
      <c r="B235" s="474" t="s">
        <v>465</v>
      </c>
      <c r="C235" s="26">
        <v>2913</v>
      </c>
      <c r="D235" s="186"/>
      <c r="E235" s="535"/>
      <c r="F235" s="367"/>
      <c r="G235" s="459">
        <v>0</v>
      </c>
      <c r="H235" s="459">
        <v>0</v>
      </c>
      <c r="I235" s="534">
        <f t="shared" si="13"/>
        <v>852</v>
      </c>
      <c r="J235" s="459"/>
      <c r="K235" s="459"/>
      <c r="L235" s="459">
        <v>466</v>
      </c>
      <c r="M235" s="471">
        <f t="shared" si="12"/>
        <v>3379</v>
      </c>
      <c r="N235" s="28">
        <v>0</v>
      </c>
      <c r="O235" s="26">
        <v>0</v>
      </c>
      <c r="P235" s="26">
        <v>0</v>
      </c>
      <c r="Q235" s="472"/>
    </row>
    <row r="236" spans="1:17" ht="12.75">
      <c r="A236" s="26">
        <v>853</v>
      </c>
      <c r="B236" s="474" t="s">
        <v>466</v>
      </c>
      <c r="C236" s="26">
        <v>2913</v>
      </c>
      <c r="D236" s="186"/>
      <c r="E236" s="535"/>
      <c r="F236" s="367"/>
      <c r="G236" s="459">
        <v>0</v>
      </c>
      <c r="H236" s="459">
        <v>0</v>
      </c>
      <c r="I236" s="534">
        <f t="shared" si="13"/>
        <v>853</v>
      </c>
      <c r="J236" s="459"/>
      <c r="K236" s="459"/>
      <c r="L236" s="459">
        <v>466</v>
      </c>
      <c r="M236" s="471">
        <f t="shared" si="12"/>
        <v>3379</v>
      </c>
      <c r="N236" s="28">
        <v>17</v>
      </c>
      <c r="O236" s="26">
        <v>0</v>
      </c>
      <c r="P236" s="26">
        <v>0</v>
      </c>
      <c r="Q236" s="472"/>
    </row>
    <row r="237" spans="1:17" ht="12.75">
      <c r="A237" s="26">
        <v>854</v>
      </c>
      <c r="B237" s="474" t="s">
        <v>467</v>
      </c>
      <c r="C237" s="26">
        <v>2913</v>
      </c>
      <c r="D237" s="186"/>
      <c r="E237" s="535"/>
      <c r="F237" s="367"/>
      <c r="G237" s="459">
        <v>0</v>
      </c>
      <c r="H237" s="459">
        <v>0</v>
      </c>
      <c r="I237" s="534">
        <f t="shared" si="13"/>
        <v>854</v>
      </c>
      <c r="J237" s="459"/>
      <c r="K237" s="459"/>
      <c r="L237" s="459">
        <v>466</v>
      </c>
      <c r="M237" s="471">
        <f t="shared" si="12"/>
        <v>3379</v>
      </c>
      <c r="N237" s="28">
        <v>0</v>
      </c>
      <c r="O237" s="26">
        <v>0</v>
      </c>
      <c r="P237" s="26">
        <v>0</v>
      </c>
      <c r="Q237" s="472"/>
    </row>
    <row r="238" spans="1:17" ht="12.75">
      <c r="A238" s="26">
        <v>857</v>
      </c>
      <c r="B238" s="474" t="s">
        <v>468</v>
      </c>
      <c r="C238" s="26">
        <v>2913</v>
      </c>
      <c r="D238" s="186"/>
      <c r="E238" s="535"/>
      <c r="F238" s="367"/>
      <c r="G238" s="459">
        <v>0</v>
      </c>
      <c r="H238" s="459">
        <v>0</v>
      </c>
      <c r="I238" s="534">
        <f t="shared" si="13"/>
        <v>857</v>
      </c>
      <c r="J238" s="459"/>
      <c r="K238" s="459"/>
      <c r="L238" s="459">
        <v>466</v>
      </c>
      <c r="M238" s="471">
        <f t="shared" si="12"/>
        <v>3379</v>
      </c>
      <c r="N238" s="28">
        <v>0</v>
      </c>
      <c r="O238" s="26">
        <v>0</v>
      </c>
      <c r="P238" s="26">
        <v>0</v>
      </c>
      <c r="Q238" s="472"/>
    </row>
    <row r="239" spans="1:16" ht="12.75">
      <c r="A239" s="26">
        <v>883</v>
      </c>
      <c r="B239" s="474" t="s">
        <v>438</v>
      </c>
      <c r="C239" s="26">
        <v>2220</v>
      </c>
      <c r="D239" s="186"/>
      <c r="E239" s="535"/>
      <c r="F239" s="367"/>
      <c r="G239" s="459">
        <v>7</v>
      </c>
      <c r="H239" s="459">
        <v>7</v>
      </c>
      <c r="I239" s="534">
        <f t="shared" si="13"/>
        <v>883</v>
      </c>
      <c r="J239" s="459"/>
      <c r="K239" s="459"/>
      <c r="L239" s="472">
        <v>521.4</v>
      </c>
      <c r="M239" s="471">
        <f t="shared" si="12"/>
        <v>2748.4</v>
      </c>
      <c r="N239" s="28">
        <v>0</v>
      </c>
      <c r="O239" s="26">
        <v>0</v>
      </c>
      <c r="P239" s="26">
        <v>0</v>
      </c>
    </row>
    <row r="240" spans="1:16" ht="12.75">
      <c r="A240" s="26">
        <v>885</v>
      </c>
      <c r="B240" s="474" t="s">
        <v>469</v>
      </c>
      <c r="C240" s="26">
        <v>1850</v>
      </c>
      <c r="D240" s="186"/>
      <c r="E240" s="535"/>
      <c r="F240" s="367"/>
      <c r="G240" s="459">
        <v>55</v>
      </c>
      <c r="H240" s="459">
        <v>55</v>
      </c>
      <c r="I240" s="534">
        <f t="shared" si="13"/>
        <v>885</v>
      </c>
      <c r="J240" s="459"/>
      <c r="K240" s="459"/>
      <c r="L240" s="472">
        <v>434.5</v>
      </c>
      <c r="M240" s="471">
        <f t="shared" si="12"/>
        <v>2339.5</v>
      </c>
      <c r="N240" s="28">
        <v>0</v>
      </c>
      <c r="O240" s="26">
        <v>0</v>
      </c>
      <c r="P240" s="26"/>
    </row>
    <row r="241" spans="1:16" ht="12.75">
      <c r="A241" s="26">
        <v>887</v>
      </c>
      <c r="B241" s="474" t="s">
        <v>439</v>
      </c>
      <c r="C241" s="26">
        <v>1580</v>
      </c>
      <c r="D241" s="186"/>
      <c r="E241" s="535"/>
      <c r="F241" s="367"/>
      <c r="G241" s="459">
        <v>90</v>
      </c>
      <c r="H241" s="459">
        <v>90</v>
      </c>
      <c r="I241" s="534">
        <f t="shared" si="13"/>
        <v>887</v>
      </c>
      <c r="J241" s="459"/>
      <c r="K241" s="459"/>
      <c r="L241" s="472">
        <v>347.6</v>
      </c>
      <c r="M241" s="471">
        <f t="shared" si="12"/>
        <v>2017.6</v>
      </c>
      <c r="N241" s="28">
        <v>0</v>
      </c>
      <c r="O241" s="26">
        <v>0</v>
      </c>
      <c r="P241" s="26">
        <v>0</v>
      </c>
    </row>
    <row r="242" spans="1:17" ht="12.75">
      <c r="A242" s="26">
        <v>900</v>
      </c>
      <c r="B242" s="27" t="s">
        <v>244</v>
      </c>
      <c r="C242" s="26">
        <v>3146</v>
      </c>
      <c r="D242" s="186">
        <v>0</v>
      </c>
      <c r="E242" s="186">
        <v>0</v>
      </c>
      <c r="F242" s="367">
        <f aca="true" t="shared" si="14" ref="F242:F258">IF(C242&lt;972,E242+44,E242)</f>
        <v>0</v>
      </c>
      <c r="G242" s="367">
        <v>0</v>
      </c>
      <c r="H242" s="367">
        <v>0</v>
      </c>
      <c r="I242" s="534">
        <f t="shared" si="13"/>
        <v>900</v>
      </c>
      <c r="J242" s="459">
        <v>0</v>
      </c>
      <c r="K242" s="459">
        <v>0</v>
      </c>
      <c r="L242" s="459">
        <v>0</v>
      </c>
      <c r="M242" s="471">
        <f t="shared" si="12"/>
        <v>3146</v>
      </c>
      <c r="N242" s="28">
        <v>0</v>
      </c>
      <c r="O242" s="26">
        <v>0</v>
      </c>
      <c r="P242" s="26">
        <v>0</v>
      </c>
      <c r="Q242" s="472"/>
    </row>
    <row r="243" spans="1:17" ht="12.75">
      <c r="A243" s="26">
        <v>901</v>
      </c>
      <c r="B243" s="27" t="s">
        <v>245</v>
      </c>
      <c r="C243" s="26">
        <v>2913</v>
      </c>
      <c r="D243" s="186">
        <v>0</v>
      </c>
      <c r="E243" s="186">
        <v>0</v>
      </c>
      <c r="F243" s="367">
        <f t="shared" si="14"/>
        <v>0</v>
      </c>
      <c r="G243" s="367">
        <v>0</v>
      </c>
      <c r="H243" s="367">
        <v>0</v>
      </c>
      <c r="I243" s="534">
        <f t="shared" si="13"/>
        <v>901</v>
      </c>
      <c r="J243" s="459">
        <v>0</v>
      </c>
      <c r="K243" s="459">
        <v>0</v>
      </c>
      <c r="L243" s="459">
        <v>0</v>
      </c>
      <c r="M243" s="471">
        <f t="shared" si="12"/>
        <v>2913</v>
      </c>
      <c r="N243" s="28">
        <v>0</v>
      </c>
      <c r="O243" s="26">
        <v>0</v>
      </c>
      <c r="P243" s="26">
        <v>0</v>
      </c>
      <c r="Q243" s="472"/>
    </row>
    <row r="244" spans="1:17" ht="12.75">
      <c r="A244" s="26">
        <v>902</v>
      </c>
      <c r="B244" s="27" t="s">
        <v>246</v>
      </c>
      <c r="C244" s="26">
        <v>2913</v>
      </c>
      <c r="D244" s="186">
        <v>0</v>
      </c>
      <c r="E244" s="186">
        <v>0</v>
      </c>
      <c r="F244" s="367">
        <f t="shared" si="14"/>
        <v>0</v>
      </c>
      <c r="G244" s="367">
        <v>0</v>
      </c>
      <c r="H244" s="367">
        <v>0</v>
      </c>
      <c r="I244" s="534">
        <f t="shared" si="13"/>
        <v>902</v>
      </c>
      <c r="J244" s="459">
        <v>0</v>
      </c>
      <c r="K244">
        <v>233</v>
      </c>
      <c r="L244">
        <v>466</v>
      </c>
      <c r="M244" s="471">
        <f t="shared" si="12"/>
        <v>3379</v>
      </c>
      <c r="N244" s="28">
        <v>20</v>
      </c>
      <c r="O244" s="26">
        <v>0</v>
      </c>
      <c r="P244" s="26">
        <v>0</v>
      </c>
      <c r="Q244" s="472"/>
    </row>
    <row r="245" spans="1:17" ht="12.75">
      <c r="A245" s="26">
        <v>903</v>
      </c>
      <c r="B245" s="27" t="s">
        <v>247</v>
      </c>
      <c r="C245" s="26">
        <v>2913</v>
      </c>
      <c r="D245" s="186">
        <v>0</v>
      </c>
      <c r="E245" s="186">
        <v>0</v>
      </c>
      <c r="F245" s="367">
        <f t="shared" si="14"/>
        <v>0</v>
      </c>
      <c r="G245" s="367">
        <v>0</v>
      </c>
      <c r="H245" s="367">
        <v>0</v>
      </c>
      <c r="I245" s="534">
        <f t="shared" si="13"/>
        <v>903</v>
      </c>
      <c r="J245" s="459">
        <v>0</v>
      </c>
      <c r="K245">
        <v>233</v>
      </c>
      <c r="L245">
        <v>466</v>
      </c>
      <c r="M245" s="471">
        <f t="shared" si="12"/>
        <v>3379</v>
      </c>
      <c r="N245" s="28">
        <v>0</v>
      </c>
      <c r="O245" s="26">
        <v>0</v>
      </c>
      <c r="P245" s="26">
        <v>0</v>
      </c>
      <c r="Q245" s="472"/>
    </row>
    <row r="246" spans="1:17" ht="12.75">
      <c r="A246" s="26">
        <v>904</v>
      </c>
      <c r="B246" s="27" t="s">
        <v>248</v>
      </c>
      <c r="C246" s="26">
        <v>2100</v>
      </c>
      <c r="D246" s="186">
        <v>23</v>
      </c>
      <c r="E246" s="186">
        <v>23</v>
      </c>
      <c r="F246" s="367">
        <f t="shared" si="14"/>
        <v>23</v>
      </c>
      <c r="G246" s="367">
        <v>23</v>
      </c>
      <c r="H246" s="367">
        <v>23</v>
      </c>
      <c r="I246" s="534">
        <f t="shared" si="13"/>
        <v>904</v>
      </c>
      <c r="J246" s="459">
        <v>0</v>
      </c>
      <c r="K246" s="459">
        <v>0</v>
      </c>
      <c r="L246" s="459">
        <v>0</v>
      </c>
      <c r="M246" s="471">
        <f t="shared" si="12"/>
        <v>2123</v>
      </c>
      <c r="N246" s="28">
        <v>0</v>
      </c>
      <c r="O246" s="26">
        <v>0</v>
      </c>
      <c r="P246" s="26">
        <v>0</v>
      </c>
      <c r="Q246" s="472"/>
    </row>
    <row r="247" spans="1:17" ht="12.75">
      <c r="A247" s="26">
        <v>905</v>
      </c>
      <c r="B247" s="27" t="s">
        <v>249</v>
      </c>
      <c r="C247" s="26">
        <v>1800</v>
      </c>
      <c r="D247" s="186">
        <v>62</v>
      </c>
      <c r="E247" s="186">
        <v>62</v>
      </c>
      <c r="F247" s="367">
        <f t="shared" si="14"/>
        <v>62</v>
      </c>
      <c r="G247" s="367">
        <v>62</v>
      </c>
      <c r="H247" s="367">
        <v>62</v>
      </c>
      <c r="I247" s="534">
        <f t="shared" si="13"/>
        <v>905</v>
      </c>
      <c r="J247" s="459">
        <v>0</v>
      </c>
      <c r="K247" s="459">
        <v>0</v>
      </c>
      <c r="L247" s="459">
        <v>0</v>
      </c>
      <c r="M247" s="471">
        <f t="shared" si="12"/>
        <v>1862</v>
      </c>
      <c r="N247" s="28">
        <v>0</v>
      </c>
      <c r="O247" s="26">
        <v>0</v>
      </c>
      <c r="P247" s="26">
        <v>0</v>
      </c>
      <c r="Q247" s="472"/>
    </row>
    <row r="248" spans="1:17" ht="12.75">
      <c r="A248" s="26">
        <v>906</v>
      </c>
      <c r="B248" s="27" t="s">
        <v>250</v>
      </c>
      <c r="C248" s="26">
        <v>1942</v>
      </c>
      <c r="D248" s="186">
        <v>43</v>
      </c>
      <c r="E248" s="186">
        <v>43</v>
      </c>
      <c r="F248" s="367">
        <f t="shared" si="14"/>
        <v>43</v>
      </c>
      <c r="G248" s="367">
        <v>43</v>
      </c>
      <c r="H248" s="367">
        <v>43</v>
      </c>
      <c r="I248" s="534">
        <f t="shared" si="13"/>
        <v>906</v>
      </c>
      <c r="J248" s="459">
        <v>0</v>
      </c>
      <c r="K248" s="459">
        <v>194</v>
      </c>
      <c r="L248" s="459">
        <v>388</v>
      </c>
      <c r="M248" s="471">
        <f t="shared" si="12"/>
        <v>2373</v>
      </c>
      <c r="N248" s="28">
        <v>0</v>
      </c>
      <c r="O248" s="26">
        <v>0</v>
      </c>
      <c r="P248" s="26">
        <v>0</v>
      </c>
      <c r="Q248" s="480">
        <v>782</v>
      </c>
    </row>
    <row r="249" spans="1:17" ht="12.75">
      <c r="A249" s="26">
        <v>907</v>
      </c>
      <c r="B249" s="27" t="s">
        <v>251</v>
      </c>
      <c r="C249" s="26">
        <v>1782</v>
      </c>
      <c r="D249" s="186">
        <v>64</v>
      </c>
      <c r="E249" s="186">
        <v>64</v>
      </c>
      <c r="F249" s="367">
        <f t="shared" si="14"/>
        <v>64</v>
      </c>
      <c r="G249" s="367">
        <v>64</v>
      </c>
      <c r="H249" s="367">
        <v>64</v>
      </c>
      <c r="I249" s="534">
        <f t="shared" si="13"/>
        <v>907</v>
      </c>
      <c r="J249" s="459">
        <v>0</v>
      </c>
      <c r="K249" s="459">
        <v>175</v>
      </c>
      <c r="L249" s="459">
        <v>349</v>
      </c>
      <c r="M249" s="471">
        <f t="shared" si="12"/>
        <v>2195</v>
      </c>
      <c r="N249" s="28">
        <v>0</v>
      </c>
      <c r="O249" s="26">
        <v>0</v>
      </c>
      <c r="P249" s="26">
        <v>0</v>
      </c>
      <c r="Q249" s="480">
        <v>782</v>
      </c>
    </row>
    <row r="250" spans="1:17" ht="12.75">
      <c r="A250" s="26">
        <v>908</v>
      </c>
      <c r="B250" s="27" t="s">
        <v>252</v>
      </c>
      <c r="C250" s="26">
        <v>1692</v>
      </c>
      <c r="D250" s="186">
        <v>76</v>
      </c>
      <c r="E250" s="186">
        <v>76</v>
      </c>
      <c r="F250" s="367">
        <f t="shared" si="14"/>
        <v>76</v>
      </c>
      <c r="G250" s="367">
        <v>76</v>
      </c>
      <c r="H250" s="367">
        <v>76</v>
      </c>
      <c r="I250" s="534">
        <f t="shared" si="13"/>
        <v>908</v>
      </c>
      <c r="J250" s="459">
        <v>0</v>
      </c>
      <c r="K250" s="461">
        <v>136</v>
      </c>
      <c r="L250" s="461">
        <v>272</v>
      </c>
      <c r="M250" s="471">
        <f t="shared" si="12"/>
        <v>2040</v>
      </c>
      <c r="N250" s="28">
        <v>0</v>
      </c>
      <c r="O250" s="26">
        <v>0</v>
      </c>
      <c r="P250" s="26">
        <v>0</v>
      </c>
      <c r="Q250" s="472"/>
    </row>
    <row r="251" spans="1:17" ht="12.75">
      <c r="A251" s="26">
        <v>909</v>
      </c>
      <c r="B251" s="27" t="s">
        <v>253</v>
      </c>
      <c r="C251" s="26">
        <v>1592</v>
      </c>
      <c r="D251" s="186">
        <v>89</v>
      </c>
      <c r="E251" s="186">
        <v>89</v>
      </c>
      <c r="F251" s="367">
        <f t="shared" si="14"/>
        <v>89</v>
      </c>
      <c r="G251" s="367">
        <v>89</v>
      </c>
      <c r="H251" s="367">
        <v>89</v>
      </c>
      <c r="I251" s="534">
        <f t="shared" si="13"/>
        <v>909</v>
      </c>
      <c r="J251" s="459">
        <v>0</v>
      </c>
      <c r="K251" s="459">
        <v>0</v>
      </c>
      <c r="L251" s="459">
        <v>349</v>
      </c>
      <c r="M251" s="471">
        <f t="shared" si="12"/>
        <v>2030</v>
      </c>
      <c r="N251" s="28">
        <v>0</v>
      </c>
      <c r="O251" s="26">
        <v>0</v>
      </c>
      <c r="P251" s="26">
        <v>0</v>
      </c>
      <c r="Q251" s="472"/>
    </row>
    <row r="252" spans="1:17" ht="12.75">
      <c r="A252" s="26">
        <v>910</v>
      </c>
      <c r="B252" s="27" t="s">
        <v>144</v>
      </c>
      <c r="C252" s="26">
        <v>1942</v>
      </c>
      <c r="D252" s="186">
        <v>43</v>
      </c>
      <c r="E252" s="186">
        <v>43</v>
      </c>
      <c r="F252" s="367">
        <f t="shared" si="14"/>
        <v>43</v>
      </c>
      <c r="G252" s="367">
        <v>43</v>
      </c>
      <c r="H252" s="367">
        <v>43</v>
      </c>
      <c r="I252" s="534">
        <f t="shared" si="13"/>
        <v>910</v>
      </c>
      <c r="J252" s="459">
        <v>0</v>
      </c>
      <c r="K252" s="459">
        <v>194</v>
      </c>
      <c r="L252" s="459">
        <v>388</v>
      </c>
      <c r="M252" s="471">
        <f t="shared" si="12"/>
        <v>2373</v>
      </c>
      <c r="N252" s="28">
        <v>150</v>
      </c>
      <c r="O252" s="26">
        <v>0</v>
      </c>
      <c r="P252" s="26">
        <v>0</v>
      </c>
      <c r="Q252" s="472"/>
    </row>
    <row r="253" spans="1:17" ht="12.75">
      <c r="A253" s="26">
        <v>911</v>
      </c>
      <c r="B253" s="27" t="s">
        <v>154</v>
      </c>
      <c r="C253" s="26">
        <v>1592</v>
      </c>
      <c r="D253" s="186">
        <v>89</v>
      </c>
      <c r="E253" s="186">
        <v>89</v>
      </c>
      <c r="F253" s="367">
        <f t="shared" si="14"/>
        <v>89</v>
      </c>
      <c r="G253" s="367">
        <v>89</v>
      </c>
      <c r="H253" s="367">
        <v>89</v>
      </c>
      <c r="I253" s="534">
        <f t="shared" si="13"/>
        <v>911</v>
      </c>
      <c r="J253" s="459">
        <v>0</v>
      </c>
      <c r="K253" s="459">
        <v>136</v>
      </c>
      <c r="L253" s="459">
        <v>350</v>
      </c>
      <c r="M253" s="471">
        <f t="shared" si="12"/>
        <v>2031</v>
      </c>
      <c r="N253" s="28">
        <v>0</v>
      </c>
      <c r="O253" s="26">
        <v>0</v>
      </c>
      <c r="P253" s="26">
        <v>0</v>
      </c>
      <c r="Q253" s="472"/>
    </row>
    <row r="254" spans="1:17" ht="12.75">
      <c r="A254" s="26">
        <v>912</v>
      </c>
      <c r="B254" s="27" t="s">
        <v>254</v>
      </c>
      <c r="C254" s="26">
        <v>1782</v>
      </c>
      <c r="D254" s="186">
        <v>64</v>
      </c>
      <c r="E254" s="186">
        <v>64</v>
      </c>
      <c r="F254" s="367">
        <f t="shared" si="14"/>
        <v>64</v>
      </c>
      <c r="G254" s="367">
        <v>64</v>
      </c>
      <c r="H254" s="367">
        <v>64</v>
      </c>
      <c r="I254" s="534">
        <f t="shared" si="13"/>
        <v>912</v>
      </c>
      <c r="J254" s="459">
        <v>0</v>
      </c>
      <c r="K254" s="459">
        <v>175</v>
      </c>
      <c r="L254" s="459">
        <v>349</v>
      </c>
      <c r="M254" s="471">
        <f t="shared" si="12"/>
        <v>2195</v>
      </c>
      <c r="N254" s="28">
        <v>17</v>
      </c>
      <c r="O254" s="26">
        <v>0</v>
      </c>
      <c r="P254" s="26">
        <v>0</v>
      </c>
      <c r="Q254" s="472"/>
    </row>
    <row r="255" spans="1:17" ht="12.75">
      <c r="A255" s="26">
        <v>913</v>
      </c>
      <c r="B255" s="27" t="s">
        <v>255</v>
      </c>
      <c r="C255" s="26">
        <v>1700</v>
      </c>
      <c r="D255" s="186">
        <v>75</v>
      </c>
      <c r="E255" s="186">
        <v>75</v>
      </c>
      <c r="F255" s="367">
        <f t="shared" si="14"/>
        <v>75</v>
      </c>
      <c r="G255" s="367">
        <v>75</v>
      </c>
      <c r="H255" s="367">
        <v>75</v>
      </c>
      <c r="I255" s="534">
        <f t="shared" si="13"/>
        <v>913</v>
      </c>
      <c r="J255" s="459">
        <v>0</v>
      </c>
      <c r="K255" s="459">
        <v>155</v>
      </c>
      <c r="L255" s="459">
        <v>310</v>
      </c>
      <c r="M255" s="471">
        <f t="shared" si="12"/>
        <v>2085</v>
      </c>
      <c r="N255" s="28">
        <v>0</v>
      </c>
      <c r="O255" s="26">
        <v>0</v>
      </c>
      <c r="P255" s="26">
        <v>0</v>
      </c>
      <c r="Q255" s="480">
        <v>769</v>
      </c>
    </row>
    <row r="256" spans="1:17" ht="12.75">
      <c r="A256" s="26">
        <v>914</v>
      </c>
      <c r="B256" s="27" t="s">
        <v>256</v>
      </c>
      <c r="C256" s="26">
        <v>1600</v>
      </c>
      <c r="D256" s="186">
        <v>88</v>
      </c>
      <c r="E256" s="186">
        <v>88</v>
      </c>
      <c r="F256" s="367">
        <f t="shared" si="14"/>
        <v>88</v>
      </c>
      <c r="G256" s="367">
        <v>88</v>
      </c>
      <c r="H256" s="367">
        <v>88</v>
      </c>
      <c r="I256" s="534">
        <f t="shared" si="13"/>
        <v>914</v>
      </c>
      <c r="J256" s="459">
        <v>0</v>
      </c>
      <c r="K256" s="459">
        <v>116</v>
      </c>
      <c r="L256" s="459">
        <v>232</v>
      </c>
      <c r="M256" s="471">
        <f t="shared" si="12"/>
        <v>1920</v>
      </c>
      <c r="N256" s="28">
        <v>0</v>
      </c>
      <c r="O256" s="26">
        <v>0</v>
      </c>
      <c r="P256" s="26">
        <v>0</v>
      </c>
      <c r="Q256" s="480">
        <v>738</v>
      </c>
    </row>
    <row r="257" spans="1:17" ht="12.75">
      <c r="A257" s="26">
        <v>915</v>
      </c>
      <c r="B257" s="27" t="s">
        <v>257</v>
      </c>
      <c r="C257" s="26">
        <v>1700</v>
      </c>
      <c r="D257" s="186">
        <v>75</v>
      </c>
      <c r="E257" s="186">
        <v>75</v>
      </c>
      <c r="F257" s="367">
        <f t="shared" si="14"/>
        <v>75</v>
      </c>
      <c r="G257" s="367">
        <v>75</v>
      </c>
      <c r="H257" s="367">
        <v>75</v>
      </c>
      <c r="I257" s="534">
        <f t="shared" si="13"/>
        <v>915</v>
      </c>
      <c r="J257" s="459">
        <v>0</v>
      </c>
      <c r="K257" s="459">
        <v>155</v>
      </c>
      <c r="L257" s="459">
        <v>233</v>
      </c>
      <c r="M257" s="471">
        <f t="shared" si="12"/>
        <v>2008</v>
      </c>
      <c r="N257" s="28">
        <v>150</v>
      </c>
      <c r="O257" s="26">
        <v>0</v>
      </c>
      <c r="P257" s="26">
        <v>0</v>
      </c>
      <c r="Q257" s="472"/>
    </row>
    <row r="258" spans="1:17" ht="12.75">
      <c r="A258" s="26">
        <v>916</v>
      </c>
      <c r="B258" s="27" t="s">
        <v>258</v>
      </c>
      <c r="C258" s="26">
        <v>1300</v>
      </c>
      <c r="D258" s="186">
        <v>127</v>
      </c>
      <c r="E258" s="186">
        <v>127</v>
      </c>
      <c r="F258" s="367">
        <f t="shared" si="14"/>
        <v>127</v>
      </c>
      <c r="G258" s="367">
        <v>127</v>
      </c>
      <c r="H258" s="367">
        <v>127</v>
      </c>
      <c r="I258" s="534">
        <f t="shared" si="13"/>
        <v>916</v>
      </c>
      <c r="J258" s="459">
        <v>0</v>
      </c>
      <c r="K258" s="459">
        <v>116</v>
      </c>
      <c r="L258" s="459">
        <v>233</v>
      </c>
      <c r="M258" s="471">
        <f t="shared" si="12"/>
        <v>1660</v>
      </c>
      <c r="N258" s="28">
        <v>0</v>
      </c>
      <c r="O258" s="26">
        <v>0</v>
      </c>
      <c r="P258" s="26">
        <v>0</v>
      </c>
      <c r="Q258" s="472"/>
    </row>
    <row r="259" spans="1:17" ht="12.75">
      <c r="A259" s="26">
        <v>917</v>
      </c>
      <c r="B259" s="27" t="s">
        <v>259</v>
      </c>
      <c r="C259" s="26">
        <v>971</v>
      </c>
      <c r="D259" s="186">
        <v>170</v>
      </c>
      <c r="E259" s="535">
        <v>216</v>
      </c>
      <c r="F259" s="367">
        <v>261</v>
      </c>
      <c r="G259" s="459">
        <v>327</v>
      </c>
      <c r="H259" s="459">
        <v>350</v>
      </c>
      <c r="I259" s="534">
        <f t="shared" si="13"/>
        <v>917</v>
      </c>
      <c r="J259" s="459">
        <v>0</v>
      </c>
      <c r="K259" s="459">
        <v>0</v>
      </c>
      <c r="L259" s="459">
        <v>0</v>
      </c>
      <c r="M259" s="471">
        <f aca="true" t="shared" si="15" ref="M259:M322">C259+G259+L259</f>
        <v>1298</v>
      </c>
      <c r="N259" s="28">
        <v>0</v>
      </c>
      <c r="O259" s="26">
        <v>0</v>
      </c>
      <c r="P259" s="26">
        <v>0</v>
      </c>
      <c r="Q259" s="472"/>
    </row>
    <row r="260" spans="1:17" ht="12.75">
      <c r="A260" s="26">
        <v>918</v>
      </c>
      <c r="B260" s="27" t="s">
        <v>162</v>
      </c>
      <c r="C260" s="26">
        <v>971</v>
      </c>
      <c r="D260" s="186">
        <v>170</v>
      </c>
      <c r="E260" s="535">
        <v>216</v>
      </c>
      <c r="F260" s="367">
        <v>261</v>
      </c>
      <c r="G260" s="459">
        <v>327</v>
      </c>
      <c r="H260" s="459">
        <v>350</v>
      </c>
      <c r="I260" s="534">
        <f t="shared" si="13"/>
        <v>918</v>
      </c>
      <c r="J260" s="459">
        <v>0</v>
      </c>
      <c r="K260" s="459">
        <v>0</v>
      </c>
      <c r="L260" s="459">
        <v>0</v>
      </c>
      <c r="M260" s="471">
        <f t="shared" si="15"/>
        <v>1298</v>
      </c>
      <c r="N260" s="28">
        <v>150</v>
      </c>
      <c r="O260" s="26">
        <v>0</v>
      </c>
      <c r="P260" s="26">
        <v>0</v>
      </c>
      <c r="Q260" s="472"/>
    </row>
    <row r="261" spans="1:17" ht="12.75">
      <c r="A261" s="26">
        <v>919</v>
      </c>
      <c r="B261" s="27" t="s">
        <v>260</v>
      </c>
      <c r="C261" s="26">
        <v>971</v>
      </c>
      <c r="D261" s="186">
        <v>170</v>
      </c>
      <c r="E261" s="535">
        <v>216</v>
      </c>
      <c r="F261" s="367">
        <v>261</v>
      </c>
      <c r="G261" s="459">
        <v>327</v>
      </c>
      <c r="H261" s="459">
        <v>350</v>
      </c>
      <c r="I261" s="534">
        <f t="shared" si="13"/>
        <v>919</v>
      </c>
      <c r="J261" s="459">
        <v>0</v>
      </c>
      <c r="K261" s="459">
        <v>0</v>
      </c>
      <c r="L261" s="459">
        <v>0</v>
      </c>
      <c r="M261" s="471">
        <f t="shared" si="15"/>
        <v>1298</v>
      </c>
      <c r="N261" s="28">
        <v>17</v>
      </c>
      <c r="O261" s="26">
        <v>0</v>
      </c>
      <c r="P261" s="26">
        <v>0</v>
      </c>
      <c r="Q261" s="472"/>
    </row>
    <row r="262" spans="1:17" ht="12.75">
      <c r="A262" s="26">
        <v>920</v>
      </c>
      <c r="B262" s="27" t="s">
        <v>261</v>
      </c>
      <c r="C262" s="26">
        <v>971</v>
      </c>
      <c r="D262" s="186">
        <v>170</v>
      </c>
      <c r="E262" s="535">
        <v>216</v>
      </c>
      <c r="F262" s="367">
        <v>261</v>
      </c>
      <c r="G262" s="459">
        <v>327</v>
      </c>
      <c r="H262" s="459">
        <v>350</v>
      </c>
      <c r="I262" s="534">
        <f aca="true" t="shared" si="16" ref="I262:I325">A262</f>
        <v>920</v>
      </c>
      <c r="J262" s="459">
        <v>0</v>
      </c>
      <c r="K262" s="459">
        <v>0</v>
      </c>
      <c r="L262" s="459">
        <v>0</v>
      </c>
      <c r="M262" s="471">
        <f t="shared" si="15"/>
        <v>1298</v>
      </c>
      <c r="N262" s="28">
        <v>150</v>
      </c>
      <c r="O262" s="26">
        <v>0</v>
      </c>
      <c r="P262" s="26">
        <v>0</v>
      </c>
      <c r="Q262" s="472"/>
    </row>
    <row r="263" spans="1:17" ht="12.75">
      <c r="A263" s="26">
        <v>921</v>
      </c>
      <c r="B263" s="27" t="s">
        <v>262</v>
      </c>
      <c r="C263" s="26">
        <v>971</v>
      </c>
      <c r="D263" s="186">
        <v>170</v>
      </c>
      <c r="E263" s="535">
        <v>216</v>
      </c>
      <c r="F263" s="367">
        <v>261</v>
      </c>
      <c r="G263" s="459">
        <v>327</v>
      </c>
      <c r="H263" s="459">
        <v>350</v>
      </c>
      <c r="I263" s="534">
        <f t="shared" si="16"/>
        <v>921</v>
      </c>
      <c r="J263" s="459">
        <v>0</v>
      </c>
      <c r="K263" s="459">
        <v>0</v>
      </c>
      <c r="L263" s="459">
        <v>0</v>
      </c>
      <c r="M263" s="471">
        <f t="shared" si="15"/>
        <v>1298</v>
      </c>
      <c r="N263" s="28">
        <v>0</v>
      </c>
      <c r="O263" s="26">
        <v>0</v>
      </c>
      <c r="P263" s="26">
        <v>0</v>
      </c>
      <c r="Q263" s="472"/>
    </row>
    <row r="264" spans="1:17" ht="12.75">
      <c r="A264" s="26">
        <v>922</v>
      </c>
      <c r="B264" s="27" t="s">
        <v>263</v>
      </c>
      <c r="C264" s="26">
        <v>971</v>
      </c>
      <c r="D264" s="186">
        <v>170</v>
      </c>
      <c r="E264" s="535">
        <v>216</v>
      </c>
      <c r="F264" s="367">
        <v>261</v>
      </c>
      <c r="G264" s="459">
        <v>327</v>
      </c>
      <c r="H264" s="459">
        <v>350</v>
      </c>
      <c r="I264" s="534">
        <f t="shared" si="16"/>
        <v>922</v>
      </c>
      <c r="J264" s="459">
        <v>0</v>
      </c>
      <c r="K264" s="459">
        <v>0</v>
      </c>
      <c r="L264" s="459">
        <v>0</v>
      </c>
      <c r="M264" s="471">
        <f t="shared" si="15"/>
        <v>1298</v>
      </c>
      <c r="N264" s="28">
        <v>0</v>
      </c>
      <c r="O264" s="26">
        <v>0</v>
      </c>
      <c r="P264" s="26">
        <v>0</v>
      </c>
      <c r="Q264" s="472"/>
    </row>
    <row r="265" spans="1:17" ht="12.75">
      <c r="A265" s="26">
        <v>923</v>
      </c>
      <c r="B265" s="27" t="s">
        <v>264</v>
      </c>
      <c r="C265" s="26">
        <v>971</v>
      </c>
      <c r="D265" s="186">
        <v>170</v>
      </c>
      <c r="E265" s="535">
        <v>216</v>
      </c>
      <c r="F265" s="367">
        <v>261</v>
      </c>
      <c r="G265" s="459">
        <v>327</v>
      </c>
      <c r="H265" s="459">
        <v>350</v>
      </c>
      <c r="I265" s="534">
        <f t="shared" si="16"/>
        <v>923</v>
      </c>
      <c r="J265" s="459">
        <v>0</v>
      </c>
      <c r="K265" s="459">
        <v>0</v>
      </c>
      <c r="L265" s="459">
        <v>0</v>
      </c>
      <c r="M265" s="471">
        <f t="shared" si="15"/>
        <v>1298</v>
      </c>
      <c r="N265" s="28">
        <v>0</v>
      </c>
      <c r="O265" s="26">
        <v>0</v>
      </c>
      <c r="P265" s="26">
        <v>0</v>
      </c>
      <c r="Q265" s="472"/>
    </row>
    <row r="266" spans="1:17" ht="12.75">
      <c r="A266" s="26">
        <v>924</v>
      </c>
      <c r="B266" s="27" t="s">
        <v>265</v>
      </c>
      <c r="C266" s="26">
        <v>971</v>
      </c>
      <c r="D266" s="186">
        <v>170</v>
      </c>
      <c r="E266" s="535">
        <v>216</v>
      </c>
      <c r="F266" s="367">
        <v>261</v>
      </c>
      <c r="G266" s="459">
        <v>327</v>
      </c>
      <c r="H266" s="459">
        <v>350</v>
      </c>
      <c r="I266" s="534">
        <f t="shared" si="16"/>
        <v>924</v>
      </c>
      <c r="J266" s="459">
        <v>0</v>
      </c>
      <c r="K266" s="459">
        <v>0</v>
      </c>
      <c r="L266" s="459">
        <v>0</v>
      </c>
      <c r="M266" s="471">
        <f t="shared" si="15"/>
        <v>1298</v>
      </c>
      <c r="N266" s="28">
        <v>150</v>
      </c>
      <c r="O266" s="26">
        <v>0</v>
      </c>
      <c r="P266" s="26">
        <v>0</v>
      </c>
      <c r="Q266" s="472"/>
    </row>
    <row r="267" spans="1:17" ht="12.75">
      <c r="A267" s="26">
        <v>925</v>
      </c>
      <c r="B267" s="27" t="s">
        <v>70</v>
      </c>
      <c r="C267" s="26">
        <v>971</v>
      </c>
      <c r="D267" s="186">
        <v>170</v>
      </c>
      <c r="E267" s="535">
        <v>216</v>
      </c>
      <c r="F267" s="367">
        <v>261</v>
      </c>
      <c r="G267" s="459">
        <v>327</v>
      </c>
      <c r="H267" s="459">
        <v>350</v>
      </c>
      <c r="I267" s="534">
        <f t="shared" si="16"/>
        <v>925</v>
      </c>
      <c r="J267" s="459">
        <v>0</v>
      </c>
      <c r="K267" s="459">
        <v>0</v>
      </c>
      <c r="L267" s="459">
        <v>0</v>
      </c>
      <c r="M267" s="471">
        <f t="shared" si="15"/>
        <v>1298</v>
      </c>
      <c r="N267" s="28">
        <v>0</v>
      </c>
      <c r="O267" s="26">
        <v>0</v>
      </c>
      <c r="P267" s="26">
        <v>0</v>
      </c>
      <c r="Q267" s="472"/>
    </row>
    <row r="268" spans="1:17" ht="12.75">
      <c r="A268" s="26">
        <v>926</v>
      </c>
      <c r="B268" s="27" t="s">
        <v>186</v>
      </c>
      <c r="C268" s="26">
        <v>1500</v>
      </c>
      <c r="D268" s="186">
        <v>101</v>
      </c>
      <c r="E268" s="186">
        <v>101</v>
      </c>
      <c r="F268" s="367">
        <f>IF(C268&lt;972,E268+44,E268)</f>
        <v>101</v>
      </c>
      <c r="G268" s="367">
        <v>101</v>
      </c>
      <c r="H268" s="367">
        <v>101</v>
      </c>
      <c r="I268" s="534">
        <f t="shared" si="16"/>
        <v>926</v>
      </c>
      <c r="J268" s="459">
        <v>0</v>
      </c>
      <c r="K268" s="459">
        <v>0</v>
      </c>
      <c r="L268" s="459">
        <v>0</v>
      </c>
      <c r="M268" s="471">
        <f t="shared" si="15"/>
        <v>1601</v>
      </c>
      <c r="N268" s="28">
        <v>150</v>
      </c>
      <c r="O268" s="26">
        <v>0</v>
      </c>
      <c r="P268" s="26">
        <v>0</v>
      </c>
      <c r="Q268" s="472"/>
    </row>
    <row r="269" spans="1:17" ht="12.75">
      <c r="A269" s="26">
        <v>928</v>
      </c>
      <c r="B269" s="27" t="s">
        <v>157</v>
      </c>
      <c r="C269" s="26">
        <v>1500</v>
      </c>
      <c r="D269" s="186">
        <v>101</v>
      </c>
      <c r="E269" s="186">
        <v>101</v>
      </c>
      <c r="F269" s="367">
        <f>IF(C269&lt;972,E269+44,E269)</f>
        <v>101</v>
      </c>
      <c r="G269" s="367">
        <v>101</v>
      </c>
      <c r="H269" s="367">
        <v>101</v>
      </c>
      <c r="I269" s="534">
        <f t="shared" si="16"/>
        <v>928</v>
      </c>
      <c r="J269" s="459">
        <v>0</v>
      </c>
      <c r="K269" s="459">
        <v>0</v>
      </c>
      <c r="L269" s="459">
        <v>0</v>
      </c>
      <c r="M269" s="471">
        <f t="shared" si="15"/>
        <v>1601</v>
      </c>
      <c r="N269" s="28">
        <v>150</v>
      </c>
      <c r="O269" s="26">
        <v>0</v>
      </c>
      <c r="P269" s="26">
        <v>0</v>
      </c>
      <c r="Q269" s="472"/>
    </row>
    <row r="270" spans="1:17" ht="12.75">
      <c r="A270" s="26">
        <v>929</v>
      </c>
      <c r="B270" s="27" t="s">
        <v>266</v>
      </c>
      <c r="C270" s="26">
        <v>971</v>
      </c>
      <c r="D270" s="186">
        <v>170</v>
      </c>
      <c r="E270" s="535">
        <v>216</v>
      </c>
      <c r="F270" s="367">
        <v>261</v>
      </c>
      <c r="G270" s="459">
        <v>327</v>
      </c>
      <c r="H270" s="459">
        <v>350</v>
      </c>
      <c r="I270" s="534">
        <f t="shared" si="16"/>
        <v>929</v>
      </c>
      <c r="J270" s="459">
        <v>0</v>
      </c>
      <c r="K270" s="459">
        <v>0</v>
      </c>
      <c r="L270" s="459">
        <v>0</v>
      </c>
      <c r="M270" s="471">
        <f t="shared" si="15"/>
        <v>1298</v>
      </c>
      <c r="N270" s="28">
        <v>150</v>
      </c>
      <c r="O270" s="26">
        <v>0</v>
      </c>
      <c r="P270" s="26">
        <v>0</v>
      </c>
      <c r="Q270" s="472"/>
    </row>
    <row r="271" spans="1:17" ht="12.75">
      <c r="A271" s="26">
        <v>930</v>
      </c>
      <c r="B271" s="27" t="s">
        <v>267</v>
      </c>
      <c r="C271" s="26">
        <v>1592</v>
      </c>
      <c r="D271" s="186">
        <v>89</v>
      </c>
      <c r="E271" s="186">
        <v>89</v>
      </c>
      <c r="F271" s="367">
        <f>IF(C271&lt;972,E271+44,E271)</f>
        <v>89</v>
      </c>
      <c r="G271" s="367">
        <v>89</v>
      </c>
      <c r="H271" s="367">
        <v>89</v>
      </c>
      <c r="I271" s="534">
        <f t="shared" si="16"/>
        <v>930</v>
      </c>
      <c r="J271" s="459">
        <v>0</v>
      </c>
      <c r="K271" s="459">
        <v>0</v>
      </c>
      <c r="L271" s="459">
        <v>233</v>
      </c>
      <c r="M271" s="471">
        <f t="shared" si="15"/>
        <v>1914</v>
      </c>
      <c r="N271" s="28">
        <v>0</v>
      </c>
      <c r="O271" s="26">
        <v>0</v>
      </c>
      <c r="P271" s="26">
        <v>0</v>
      </c>
      <c r="Q271" s="472"/>
    </row>
    <row r="272" spans="1:17" ht="12.75">
      <c r="A272" s="26">
        <v>931</v>
      </c>
      <c r="B272" s="27" t="s">
        <v>268</v>
      </c>
      <c r="C272" s="26">
        <v>971</v>
      </c>
      <c r="D272" s="186">
        <v>170</v>
      </c>
      <c r="E272" s="535">
        <v>216</v>
      </c>
      <c r="F272" s="367">
        <v>261</v>
      </c>
      <c r="G272" s="459">
        <v>327</v>
      </c>
      <c r="H272" s="459">
        <v>350</v>
      </c>
      <c r="I272" s="534">
        <f t="shared" si="16"/>
        <v>931</v>
      </c>
      <c r="J272" s="459">
        <v>0</v>
      </c>
      <c r="K272" s="459">
        <v>0</v>
      </c>
      <c r="L272" s="459">
        <v>0</v>
      </c>
      <c r="M272" s="471">
        <f t="shared" si="15"/>
        <v>1298</v>
      </c>
      <c r="N272" s="28">
        <v>0</v>
      </c>
      <c r="O272" s="26">
        <v>0</v>
      </c>
      <c r="P272" s="26">
        <v>0</v>
      </c>
      <c r="Q272" s="472"/>
    </row>
    <row r="273" spans="1:17" ht="14.25">
      <c r="A273" s="26">
        <v>932</v>
      </c>
      <c r="B273" s="27" t="s">
        <v>269</v>
      </c>
      <c r="C273" s="26">
        <v>2220</v>
      </c>
      <c r="D273" s="186">
        <v>7</v>
      </c>
      <c r="E273" s="186">
        <v>7</v>
      </c>
      <c r="F273" s="367">
        <f>IF(C273&lt;972,E273+44,E273)</f>
        <v>7</v>
      </c>
      <c r="G273" s="367">
        <v>7</v>
      </c>
      <c r="H273" s="367">
        <v>7</v>
      </c>
      <c r="I273" s="534">
        <f t="shared" si="16"/>
        <v>932</v>
      </c>
      <c r="J273" s="459">
        <v>0</v>
      </c>
      <c r="K273" s="459">
        <v>0</v>
      </c>
      <c r="L273" s="498">
        <v>521.4</v>
      </c>
      <c r="M273" s="471">
        <f t="shared" si="15"/>
        <v>2748.4</v>
      </c>
      <c r="N273" s="28">
        <v>0</v>
      </c>
      <c r="O273" s="26">
        <v>0</v>
      </c>
      <c r="P273" s="26">
        <v>0</v>
      </c>
      <c r="Q273" s="472"/>
    </row>
    <row r="274" spans="1:17" ht="14.25">
      <c r="A274" s="33">
        <v>933</v>
      </c>
      <c r="B274" s="34" t="s">
        <v>270</v>
      </c>
      <c r="C274" s="33">
        <v>1580</v>
      </c>
      <c r="D274" s="186">
        <v>90</v>
      </c>
      <c r="E274" s="186">
        <v>90</v>
      </c>
      <c r="F274" s="367">
        <f>IF(C274&lt;972,E274+44,E274)</f>
        <v>90</v>
      </c>
      <c r="G274" s="367">
        <v>90</v>
      </c>
      <c r="H274" s="367">
        <v>90</v>
      </c>
      <c r="I274" s="534">
        <f t="shared" si="16"/>
        <v>933</v>
      </c>
      <c r="J274" s="459">
        <v>0</v>
      </c>
      <c r="K274" s="459">
        <v>0</v>
      </c>
      <c r="L274" s="498">
        <v>347.6</v>
      </c>
      <c r="M274" s="471">
        <f t="shared" si="15"/>
        <v>2017.6</v>
      </c>
      <c r="N274" s="35">
        <v>0</v>
      </c>
      <c r="O274" s="33">
        <v>0</v>
      </c>
      <c r="P274" s="33">
        <v>0</v>
      </c>
      <c r="Q274" s="472"/>
    </row>
    <row r="275" spans="1:17" ht="12.75">
      <c r="A275" s="26">
        <v>934</v>
      </c>
      <c r="B275" s="27" t="s">
        <v>271</v>
      </c>
      <c r="C275" s="26">
        <v>922</v>
      </c>
      <c r="D275" s="186">
        <v>176</v>
      </c>
      <c r="E275" s="535">
        <v>216</v>
      </c>
      <c r="F275" s="367">
        <v>261</v>
      </c>
      <c r="G275" s="459">
        <v>327</v>
      </c>
      <c r="H275" s="459">
        <v>350</v>
      </c>
      <c r="I275" s="534">
        <f t="shared" si="16"/>
        <v>934</v>
      </c>
      <c r="J275" s="459">
        <v>0</v>
      </c>
      <c r="K275" s="459">
        <v>0</v>
      </c>
      <c r="L275" s="459">
        <v>0</v>
      </c>
      <c r="M275" s="471">
        <f t="shared" si="15"/>
        <v>1249</v>
      </c>
      <c r="N275" s="28">
        <v>0</v>
      </c>
      <c r="O275" s="26">
        <v>0</v>
      </c>
      <c r="P275" s="26">
        <v>0</v>
      </c>
      <c r="Q275" s="472"/>
    </row>
    <row r="276" spans="1:17" ht="12.75">
      <c r="A276" s="26">
        <v>935</v>
      </c>
      <c r="B276" s="27" t="s">
        <v>272</v>
      </c>
      <c r="C276" s="26">
        <v>971</v>
      </c>
      <c r="D276" s="186">
        <v>170</v>
      </c>
      <c r="E276" s="535">
        <v>216</v>
      </c>
      <c r="F276" s="367">
        <v>261</v>
      </c>
      <c r="G276" s="459">
        <v>327</v>
      </c>
      <c r="H276" s="459">
        <v>350</v>
      </c>
      <c r="I276" s="534">
        <f t="shared" si="16"/>
        <v>935</v>
      </c>
      <c r="J276" s="459">
        <v>0</v>
      </c>
      <c r="K276" s="459">
        <v>0</v>
      </c>
      <c r="L276" s="459">
        <v>0</v>
      </c>
      <c r="M276" s="471">
        <f t="shared" si="15"/>
        <v>1298</v>
      </c>
      <c r="N276" s="28">
        <v>0</v>
      </c>
      <c r="O276" s="26">
        <v>0</v>
      </c>
      <c r="P276" s="26">
        <v>0</v>
      </c>
      <c r="Q276" s="472"/>
    </row>
    <row r="277" spans="1:17" ht="12.75">
      <c r="A277" s="26">
        <v>936</v>
      </c>
      <c r="B277" s="27" t="s">
        <v>273</v>
      </c>
      <c r="C277" s="26">
        <v>1250</v>
      </c>
      <c r="D277" s="186">
        <v>134</v>
      </c>
      <c r="E277" s="186">
        <v>134</v>
      </c>
      <c r="F277" s="367">
        <f>IF(C277&lt;972,E277+44,E277)</f>
        <v>134</v>
      </c>
      <c r="G277" s="367">
        <v>134</v>
      </c>
      <c r="H277" s="367">
        <v>134</v>
      </c>
      <c r="I277" s="534">
        <f t="shared" si="16"/>
        <v>936</v>
      </c>
      <c r="J277" s="459">
        <v>0</v>
      </c>
      <c r="K277" s="459">
        <v>0</v>
      </c>
      <c r="L277" s="459">
        <v>0</v>
      </c>
      <c r="M277" s="471">
        <f t="shared" si="15"/>
        <v>1384</v>
      </c>
      <c r="N277" s="28">
        <v>0</v>
      </c>
      <c r="O277" s="26">
        <v>0</v>
      </c>
      <c r="P277" s="26">
        <v>0</v>
      </c>
      <c r="Q277" s="472"/>
    </row>
    <row r="278" spans="1:17" ht="12.75">
      <c r="A278" s="30">
        <v>937</v>
      </c>
      <c r="B278" s="31" t="s">
        <v>274</v>
      </c>
      <c r="C278" s="30">
        <v>971</v>
      </c>
      <c r="D278" s="186">
        <v>170</v>
      </c>
      <c r="E278" s="535">
        <v>216</v>
      </c>
      <c r="F278" s="367">
        <v>261</v>
      </c>
      <c r="G278" s="459">
        <v>327</v>
      </c>
      <c r="H278" s="459">
        <v>350</v>
      </c>
      <c r="I278" s="534">
        <f t="shared" si="16"/>
        <v>937</v>
      </c>
      <c r="J278" s="459">
        <v>0</v>
      </c>
      <c r="K278" s="459">
        <v>0</v>
      </c>
      <c r="L278" s="459">
        <v>0</v>
      </c>
      <c r="M278" s="471">
        <f t="shared" si="15"/>
        <v>1298</v>
      </c>
      <c r="N278" s="32">
        <v>0</v>
      </c>
      <c r="O278" s="30">
        <v>0</v>
      </c>
      <c r="P278" s="30">
        <v>0</v>
      </c>
      <c r="Q278" s="472"/>
    </row>
    <row r="279" spans="1:17" ht="12.75">
      <c r="A279" s="26">
        <v>940</v>
      </c>
      <c r="B279" s="27" t="s">
        <v>275</v>
      </c>
      <c r="C279" s="26">
        <v>1692</v>
      </c>
      <c r="D279" s="186">
        <v>76</v>
      </c>
      <c r="E279" s="186">
        <v>76</v>
      </c>
      <c r="F279" s="367">
        <f aca="true" t="shared" si="17" ref="F279:F284">IF(C279&lt;972,E279+44,E279)</f>
        <v>76</v>
      </c>
      <c r="G279" s="367">
        <v>76</v>
      </c>
      <c r="H279" s="367">
        <v>76</v>
      </c>
      <c r="I279" s="534">
        <f t="shared" si="16"/>
        <v>940</v>
      </c>
      <c r="J279" s="459">
        <v>0</v>
      </c>
      <c r="K279" s="459">
        <v>0</v>
      </c>
      <c r="L279" s="459">
        <v>272</v>
      </c>
      <c r="M279" s="471">
        <f t="shared" si="15"/>
        <v>2040</v>
      </c>
      <c r="N279" s="28">
        <v>0</v>
      </c>
      <c r="O279" s="26">
        <v>0</v>
      </c>
      <c r="P279" s="26">
        <v>0</v>
      </c>
      <c r="Q279" s="472"/>
    </row>
    <row r="280" spans="1:17" ht="12.75">
      <c r="A280" s="26">
        <v>941</v>
      </c>
      <c r="B280" s="27" t="s">
        <v>276</v>
      </c>
      <c r="C280" s="26">
        <v>1942</v>
      </c>
      <c r="D280" s="186">
        <v>43</v>
      </c>
      <c r="E280" s="186">
        <v>43</v>
      </c>
      <c r="F280" s="367">
        <f t="shared" si="17"/>
        <v>43</v>
      </c>
      <c r="G280" s="367">
        <v>43</v>
      </c>
      <c r="H280" s="367">
        <v>43</v>
      </c>
      <c r="I280" s="534">
        <f t="shared" si="16"/>
        <v>941</v>
      </c>
      <c r="J280" s="459">
        <v>0</v>
      </c>
      <c r="K280" s="459">
        <v>194</v>
      </c>
      <c r="L280" s="459">
        <v>388</v>
      </c>
      <c r="M280" s="471">
        <f t="shared" si="15"/>
        <v>2373</v>
      </c>
      <c r="N280" s="28">
        <v>0</v>
      </c>
      <c r="O280" s="26">
        <v>0</v>
      </c>
      <c r="P280" s="26">
        <v>0</v>
      </c>
      <c r="Q280" s="472"/>
    </row>
    <row r="281" spans="1:17" ht="12.75">
      <c r="A281" s="26">
        <v>942</v>
      </c>
      <c r="B281" s="27" t="s">
        <v>277</v>
      </c>
      <c r="C281" s="26">
        <v>1782</v>
      </c>
      <c r="D281" s="186">
        <v>64</v>
      </c>
      <c r="E281" s="186">
        <v>64</v>
      </c>
      <c r="F281" s="367">
        <f t="shared" si="17"/>
        <v>64</v>
      </c>
      <c r="G281" s="367">
        <v>64</v>
      </c>
      <c r="H281" s="367">
        <v>64</v>
      </c>
      <c r="I281" s="534">
        <f t="shared" si="16"/>
        <v>942</v>
      </c>
      <c r="J281" s="459">
        <v>0</v>
      </c>
      <c r="K281" s="459">
        <v>0</v>
      </c>
      <c r="L281" s="459">
        <v>349</v>
      </c>
      <c r="M281" s="471">
        <f t="shared" si="15"/>
        <v>2195</v>
      </c>
      <c r="N281" s="28">
        <v>0</v>
      </c>
      <c r="O281" s="26">
        <v>0</v>
      </c>
      <c r="P281" s="26">
        <v>0</v>
      </c>
      <c r="Q281" s="472"/>
    </row>
    <row r="282" spans="1:17" ht="12.75">
      <c r="A282" s="26">
        <v>943</v>
      </c>
      <c r="B282" s="27" t="s">
        <v>185</v>
      </c>
      <c r="C282" s="26">
        <v>1500</v>
      </c>
      <c r="D282" s="186">
        <v>101</v>
      </c>
      <c r="E282" s="186">
        <v>101</v>
      </c>
      <c r="F282" s="367">
        <f t="shared" si="17"/>
        <v>101</v>
      </c>
      <c r="G282" s="367">
        <v>101</v>
      </c>
      <c r="H282" s="367">
        <v>101</v>
      </c>
      <c r="I282" s="534">
        <f t="shared" si="16"/>
        <v>943</v>
      </c>
      <c r="J282" s="459">
        <v>0</v>
      </c>
      <c r="K282" s="459">
        <v>0</v>
      </c>
      <c r="L282" s="459">
        <v>0</v>
      </c>
      <c r="M282" s="471">
        <f t="shared" si="15"/>
        <v>1601</v>
      </c>
      <c r="N282" s="28">
        <v>150</v>
      </c>
      <c r="O282" s="26">
        <v>0</v>
      </c>
      <c r="P282" s="26">
        <v>0</v>
      </c>
      <c r="Q282" s="472"/>
    </row>
    <row r="283" spans="1:17" ht="12.75">
      <c r="A283" s="26">
        <v>944</v>
      </c>
      <c r="B283" s="27" t="s">
        <v>278</v>
      </c>
      <c r="C283" s="26">
        <v>1400</v>
      </c>
      <c r="D283" s="186">
        <v>114</v>
      </c>
      <c r="E283" s="186">
        <v>114</v>
      </c>
      <c r="F283" s="367">
        <f t="shared" si="17"/>
        <v>114</v>
      </c>
      <c r="G283" s="367">
        <v>114</v>
      </c>
      <c r="H283" s="367">
        <v>114</v>
      </c>
      <c r="I283" s="534">
        <f t="shared" si="16"/>
        <v>944</v>
      </c>
      <c r="J283" s="459">
        <v>0</v>
      </c>
      <c r="K283" s="459">
        <v>116</v>
      </c>
      <c r="L283" s="459">
        <v>233</v>
      </c>
      <c r="M283" s="471">
        <f t="shared" si="15"/>
        <v>1747</v>
      </c>
      <c r="N283" s="28">
        <v>0</v>
      </c>
      <c r="O283" s="26">
        <v>0</v>
      </c>
      <c r="P283" s="26">
        <v>0</v>
      </c>
      <c r="Q283" s="472"/>
    </row>
    <row r="284" spans="1:17" ht="12.75">
      <c r="A284" s="26">
        <v>945</v>
      </c>
      <c r="B284" s="27" t="s">
        <v>279</v>
      </c>
      <c r="C284" s="26">
        <v>1782</v>
      </c>
      <c r="D284" s="186">
        <v>64</v>
      </c>
      <c r="E284" s="186">
        <v>64</v>
      </c>
      <c r="F284" s="367">
        <f t="shared" si="17"/>
        <v>64</v>
      </c>
      <c r="G284" s="367">
        <v>64</v>
      </c>
      <c r="H284" s="367">
        <v>64</v>
      </c>
      <c r="I284" s="534">
        <f t="shared" si="16"/>
        <v>945</v>
      </c>
      <c r="J284" s="459">
        <v>0</v>
      </c>
      <c r="K284" s="459">
        <v>175</v>
      </c>
      <c r="L284" s="459">
        <v>233</v>
      </c>
      <c r="M284" s="471">
        <f t="shared" si="15"/>
        <v>2079</v>
      </c>
      <c r="N284" s="28">
        <v>0</v>
      </c>
      <c r="O284" s="26">
        <v>0</v>
      </c>
      <c r="P284" s="26">
        <v>669</v>
      </c>
      <c r="Q284" s="472"/>
    </row>
    <row r="285" spans="1:17" ht="12.75">
      <c r="A285" s="26">
        <v>946</v>
      </c>
      <c r="B285" s="27" t="s">
        <v>216</v>
      </c>
      <c r="C285" s="26">
        <v>971</v>
      </c>
      <c r="D285" s="186">
        <v>170</v>
      </c>
      <c r="E285" s="535">
        <v>170</v>
      </c>
      <c r="F285" s="367">
        <v>170</v>
      </c>
      <c r="G285" s="459">
        <v>214</v>
      </c>
      <c r="H285" s="459">
        <v>214</v>
      </c>
      <c r="I285" s="534">
        <f t="shared" si="16"/>
        <v>946</v>
      </c>
      <c r="J285" s="459">
        <v>0</v>
      </c>
      <c r="K285" s="459">
        <v>0</v>
      </c>
      <c r="L285" s="459">
        <v>0</v>
      </c>
      <c r="M285" s="471">
        <f t="shared" si="15"/>
        <v>1185</v>
      </c>
      <c r="N285" s="28">
        <v>0</v>
      </c>
      <c r="O285" s="26">
        <v>0</v>
      </c>
      <c r="P285" s="26">
        <v>620</v>
      </c>
      <c r="Q285" s="472"/>
    </row>
    <row r="286" spans="1:17" ht="12.75">
      <c r="A286" s="26">
        <v>947</v>
      </c>
      <c r="B286" s="27" t="s">
        <v>280</v>
      </c>
      <c r="C286" s="26">
        <v>971</v>
      </c>
      <c r="D286" s="186">
        <v>170</v>
      </c>
      <c r="E286" s="535">
        <v>216</v>
      </c>
      <c r="F286" s="367">
        <v>261</v>
      </c>
      <c r="G286" s="459">
        <v>327</v>
      </c>
      <c r="H286" s="459">
        <v>350</v>
      </c>
      <c r="I286" s="534">
        <f t="shared" si="16"/>
        <v>947</v>
      </c>
      <c r="J286" s="459">
        <v>0</v>
      </c>
      <c r="K286" s="459">
        <v>0</v>
      </c>
      <c r="L286" s="459">
        <v>0</v>
      </c>
      <c r="M286" s="471">
        <f t="shared" si="15"/>
        <v>1298</v>
      </c>
      <c r="N286" s="28">
        <v>0</v>
      </c>
      <c r="O286" s="26">
        <v>0</v>
      </c>
      <c r="P286" s="26">
        <v>155</v>
      </c>
      <c r="Q286" s="472"/>
    </row>
    <row r="287" spans="1:17" ht="12.75">
      <c r="A287" s="26">
        <v>948</v>
      </c>
      <c r="B287" s="474" t="s">
        <v>470</v>
      </c>
      <c r="C287" s="26">
        <v>1300</v>
      </c>
      <c r="D287" s="186"/>
      <c r="E287" s="535"/>
      <c r="F287" s="367"/>
      <c r="G287" s="459">
        <v>127</v>
      </c>
      <c r="H287" s="459">
        <v>127</v>
      </c>
      <c r="I287" s="534">
        <f t="shared" si="16"/>
        <v>948</v>
      </c>
      <c r="J287" s="459"/>
      <c r="K287" s="459"/>
      <c r="L287" s="459">
        <v>233</v>
      </c>
      <c r="M287" s="471">
        <f t="shared" si="15"/>
        <v>1660</v>
      </c>
      <c r="N287" s="28">
        <v>0</v>
      </c>
      <c r="O287" s="26">
        <v>0</v>
      </c>
      <c r="P287" s="26">
        <v>657</v>
      </c>
      <c r="Q287" s="472"/>
    </row>
    <row r="288" spans="1:17" ht="12.75">
      <c r="A288" s="26">
        <v>951</v>
      </c>
      <c r="B288" s="27" t="s">
        <v>172</v>
      </c>
      <c r="C288" s="26">
        <v>1500</v>
      </c>
      <c r="D288" s="186">
        <v>101</v>
      </c>
      <c r="E288" s="186">
        <v>101</v>
      </c>
      <c r="F288" s="367">
        <f>IF(C288&lt;972,E288+44,E288)</f>
        <v>101</v>
      </c>
      <c r="G288" s="367">
        <v>101</v>
      </c>
      <c r="H288" s="367">
        <v>101</v>
      </c>
      <c r="I288" s="534">
        <f t="shared" si="16"/>
        <v>951</v>
      </c>
      <c r="J288" s="459">
        <v>0</v>
      </c>
      <c r="K288" s="459">
        <v>0</v>
      </c>
      <c r="L288" s="459">
        <v>0</v>
      </c>
      <c r="M288" s="471">
        <f t="shared" si="15"/>
        <v>1601</v>
      </c>
      <c r="N288" s="28">
        <v>150</v>
      </c>
      <c r="O288" s="26">
        <v>0</v>
      </c>
      <c r="P288" s="26">
        <v>0</v>
      </c>
      <c r="Q288" s="472"/>
    </row>
    <row r="289" spans="1:17" ht="12.75">
      <c r="A289" s="26">
        <v>952</v>
      </c>
      <c r="B289" s="27" t="s">
        <v>281</v>
      </c>
      <c r="C289" s="26">
        <v>971</v>
      </c>
      <c r="D289" s="186">
        <v>170</v>
      </c>
      <c r="E289" s="535">
        <v>216</v>
      </c>
      <c r="F289" s="367">
        <v>261</v>
      </c>
      <c r="G289" s="459">
        <v>327</v>
      </c>
      <c r="H289" s="459">
        <v>350</v>
      </c>
      <c r="I289" s="534">
        <f t="shared" si="16"/>
        <v>952</v>
      </c>
      <c r="J289" s="459">
        <v>0</v>
      </c>
      <c r="K289" s="459">
        <v>0</v>
      </c>
      <c r="L289" s="459">
        <v>0</v>
      </c>
      <c r="M289" s="471">
        <f t="shared" si="15"/>
        <v>1298</v>
      </c>
      <c r="N289" s="28">
        <v>0</v>
      </c>
      <c r="O289" s="26">
        <v>0</v>
      </c>
      <c r="P289" s="26">
        <v>155</v>
      </c>
      <c r="Q289" s="472"/>
    </row>
    <row r="290" spans="1:17" ht="12.75">
      <c r="A290" s="26">
        <v>953</v>
      </c>
      <c r="B290" s="27" t="s">
        <v>282</v>
      </c>
      <c r="C290" s="26">
        <v>971</v>
      </c>
      <c r="D290" s="186">
        <v>170</v>
      </c>
      <c r="E290" s="535">
        <v>216</v>
      </c>
      <c r="F290" s="367">
        <v>261</v>
      </c>
      <c r="G290" s="459">
        <v>327</v>
      </c>
      <c r="H290" s="459">
        <v>350</v>
      </c>
      <c r="I290" s="534">
        <f t="shared" si="16"/>
        <v>953</v>
      </c>
      <c r="J290" s="459">
        <v>0</v>
      </c>
      <c r="K290" s="459">
        <v>0</v>
      </c>
      <c r="L290" s="459">
        <v>0</v>
      </c>
      <c r="M290" s="471">
        <f t="shared" si="15"/>
        <v>1298</v>
      </c>
      <c r="N290" s="28">
        <v>0</v>
      </c>
      <c r="O290" s="26">
        <v>0</v>
      </c>
      <c r="P290" s="26">
        <v>155</v>
      </c>
      <c r="Q290" s="472"/>
    </row>
    <row r="291" spans="1:17" ht="12.75">
      <c r="A291" s="26">
        <v>954</v>
      </c>
      <c r="B291" s="27" t="s">
        <v>283</v>
      </c>
      <c r="C291" s="26">
        <v>1600</v>
      </c>
      <c r="D291" s="186">
        <v>88</v>
      </c>
      <c r="E291" s="186">
        <v>88</v>
      </c>
      <c r="F291" s="367">
        <f>IF(C291&lt;972,E291+44,E291)</f>
        <v>88</v>
      </c>
      <c r="G291" s="367">
        <v>88</v>
      </c>
      <c r="H291" s="367">
        <v>88</v>
      </c>
      <c r="I291" s="534">
        <f t="shared" si="16"/>
        <v>954</v>
      </c>
      <c r="J291" s="459">
        <v>0</v>
      </c>
      <c r="K291" s="459">
        <v>116</v>
      </c>
      <c r="L291" s="459">
        <v>233</v>
      </c>
      <c r="M291" s="471">
        <f t="shared" si="15"/>
        <v>1921</v>
      </c>
      <c r="N291" s="28">
        <v>0</v>
      </c>
      <c r="O291" s="26">
        <v>0</v>
      </c>
      <c r="P291" s="26">
        <v>657</v>
      </c>
      <c r="Q291" s="472"/>
    </row>
    <row r="292" spans="1:17" ht="12.75">
      <c r="A292" s="26">
        <v>955</v>
      </c>
      <c r="B292" s="27" t="s">
        <v>202</v>
      </c>
      <c r="C292" s="26">
        <v>971</v>
      </c>
      <c r="D292" s="186">
        <v>170</v>
      </c>
      <c r="E292" s="535">
        <v>216</v>
      </c>
      <c r="F292" s="367">
        <v>261</v>
      </c>
      <c r="G292" s="459">
        <v>327</v>
      </c>
      <c r="H292" s="459">
        <v>350</v>
      </c>
      <c r="I292" s="534">
        <f t="shared" si="16"/>
        <v>955</v>
      </c>
      <c r="J292" s="459">
        <v>0</v>
      </c>
      <c r="K292" s="459">
        <v>0</v>
      </c>
      <c r="L292" s="459">
        <v>0</v>
      </c>
      <c r="M292" s="471">
        <f t="shared" si="15"/>
        <v>1298</v>
      </c>
      <c r="N292" s="28">
        <v>0</v>
      </c>
      <c r="O292" s="26">
        <v>0</v>
      </c>
      <c r="P292" s="26">
        <v>0</v>
      </c>
      <c r="Q292" s="472"/>
    </row>
    <row r="293" spans="1:17" ht="12.75">
      <c r="A293" s="26">
        <v>956</v>
      </c>
      <c r="B293" s="27" t="s">
        <v>284</v>
      </c>
      <c r="C293" s="26">
        <v>1692</v>
      </c>
      <c r="D293" s="186">
        <v>76</v>
      </c>
      <c r="E293" s="186">
        <v>76</v>
      </c>
      <c r="F293" s="367">
        <f aca="true" t="shared" si="18" ref="F293:F299">IF(C293&lt;972,E293+44,E293)</f>
        <v>76</v>
      </c>
      <c r="G293" s="367">
        <v>76</v>
      </c>
      <c r="H293" s="367">
        <v>76</v>
      </c>
      <c r="I293" s="534">
        <f t="shared" si="16"/>
        <v>956</v>
      </c>
      <c r="J293" s="459">
        <v>0</v>
      </c>
      <c r="K293" s="459">
        <v>136</v>
      </c>
      <c r="L293" s="459">
        <v>272</v>
      </c>
      <c r="M293" s="471">
        <f t="shared" si="15"/>
        <v>2040</v>
      </c>
      <c r="N293" s="28">
        <v>0</v>
      </c>
      <c r="O293" s="26">
        <v>0</v>
      </c>
      <c r="P293" s="26">
        <v>663</v>
      </c>
      <c r="Q293" s="472"/>
    </row>
    <row r="294" spans="1:17" ht="12.75">
      <c r="A294" s="26">
        <v>957</v>
      </c>
      <c r="B294" s="27" t="s">
        <v>471</v>
      </c>
      <c r="C294" s="26">
        <v>1700</v>
      </c>
      <c r="D294" s="186">
        <v>75</v>
      </c>
      <c r="E294" s="186">
        <v>75</v>
      </c>
      <c r="F294" s="367">
        <f t="shared" si="18"/>
        <v>75</v>
      </c>
      <c r="G294" s="367">
        <v>75</v>
      </c>
      <c r="H294" s="367">
        <v>75</v>
      </c>
      <c r="I294" s="534">
        <f t="shared" si="16"/>
        <v>957</v>
      </c>
      <c r="J294" s="459">
        <v>0</v>
      </c>
      <c r="K294" s="459">
        <v>0</v>
      </c>
      <c r="L294" s="459">
        <v>310</v>
      </c>
      <c r="M294" s="471">
        <f t="shared" si="15"/>
        <v>2085</v>
      </c>
      <c r="N294" s="28">
        <v>0</v>
      </c>
      <c r="O294" s="26">
        <v>0</v>
      </c>
      <c r="P294" s="26">
        <v>0</v>
      </c>
      <c r="Q294" s="472"/>
    </row>
    <row r="295" spans="1:17" ht="12.75">
      <c r="A295" s="26">
        <v>958</v>
      </c>
      <c r="B295" s="27" t="s">
        <v>285</v>
      </c>
      <c r="C295" s="26">
        <v>2913</v>
      </c>
      <c r="D295" s="186">
        <v>0</v>
      </c>
      <c r="E295" s="186">
        <v>0</v>
      </c>
      <c r="F295" s="367">
        <f t="shared" si="18"/>
        <v>0</v>
      </c>
      <c r="G295" s="367">
        <v>0</v>
      </c>
      <c r="H295" s="367">
        <v>0</v>
      </c>
      <c r="I295" s="534">
        <f t="shared" si="16"/>
        <v>958</v>
      </c>
      <c r="J295" s="459">
        <v>0</v>
      </c>
      <c r="K295" s="459">
        <v>0</v>
      </c>
      <c r="L295" s="459">
        <v>0</v>
      </c>
      <c r="M295" s="471">
        <f t="shared" si="15"/>
        <v>2913</v>
      </c>
      <c r="N295" s="28">
        <v>0</v>
      </c>
      <c r="O295" s="26">
        <v>0</v>
      </c>
      <c r="P295" s="26">
        <v>0</v>
      </c>
      <c r="Q295" s="472"/>
    </row>
    <row r="296" spans="1:17" ht="12.75">
      <c r="A296" s="26">
        <v>959</v>
      </c>
      <c r="B296" s="27" t="s">
        <v>472</v>
      </c>
      <c r="C296" s="26">
        <v>1942</v>
      </c>
      <c r="D296" s="186">
        <v>7</v>
      </c>
      <c r="E296" s="186">
        <v>7</v>
      </c>
      <c r="F296" s="367">
        <f t="shared" si="18"/>
        <v>7</v>
      </c>
      <c r="G296" s="367">
        <v>43</v>
      </c>
      <c r="H296" s="367">
        <v>43</v>
      </c>
      <c r="I296" s="534">
        <f t="shared" si="16"/>
        <v>959</v>
      </c>
      <c r="J296" s="459">
        <v>0</v>
      </c>
      <c r="K296" s="459">
        <v>0</v>
      </c>
      <c r="L296" s="459">
        <v>388</v>
      </c>
      <c r="M296" s="471">
        <f t="shared" si="15"/>
        <v>2373</v>
      </c>
      <c r="N296" s="28">
        <v>0</v>
      </c>
      <c r="O296" s="26">
        <v>0</v>
      </c>
      <c r="P296" s="26">
        <v>0</v>
      </c>
      <c r="Q296" s="472"/>
    </row>
    <row r="297" spans="1:17" ht="12.75">
      <c r="A297" s="26">
        <v>960</v>
      </c>
      <c r="B297" s="27" t="s">
        <v>473</v>
      </c>
      <c r="C297" s="26">
        <v>1600</v>
      </c>
      <c r="D297" s="186">
        <v>68</v>
      </c>
      <c r="E297" s="186">
        <v>68</v>
      </c>
      <c r="F297" s="367">
        <f t="shared" si="18"/>
        <v>68</v>
      </c>
      <c r="G297" s="367">
        <v>68</v>
      </c>
      <c r="H297" s="367">
        <v>68</v>
      </c>
      <c r="I297" s="534">
        <f t="shared" si="16"/>
        <v>960</v>
      </c>
      <c r="J297" s="459">
        <v>0</v>
      </c>
      <c r="K297" s="459">
        <v>0</v>
      </c>
      <c r="L297" s="459">
        <v>233</v>
      </c>
      <c r="M297" s="471">
        <f t="shared" si="15"/>
        <v>1901</v>
      </c>
      <c r="N297" s="28">
        <v>0</v>
      </c>
      <c r="O297" s="26">
        <v>0</v>
      </c>
      <c r="P297" s="26">
        <v>0</v>
      </c>
      <c r="Q297" s="472"/>
    </row>
    <row r="298" spans="1:17" ht="14.25">
      <c r="A298" s="26">
        <v>961</v>
      </c>
      <c r="B298" s="27" t="s">
        <v>286</v>
      </c>
      <c r="C298" s="26">
        <v>1580</v>
      </c>
      <c r="D298" s="186">
        <v>90</v>
      </c>
      <c r="E298" s="186">
        <v>90</v>
      </c>
      <c r="F298" s="367">
        <f t="shared" si="18"/>
        <v>90</v>
      </c>
      <c r="G298" s="367">
        <v>90</v>
      </c>
      <c r="H298" s="367">
        <v>90</v>
      </c>
      <c r="I298" s="534">
        <f t="shared" si="16"/>
        <v>961</v>
      </c>
      <c r="J298" s="459">
        <v>0</v>
      </c>
      <c r="K298" s="459">
        <v>0</v>
      </c>
      <c r="L298" s="498">
        <v>347.6</v>
      </c>
      <c r="M298" s="471">
        <f t="shared" si="15"/>
        <v>2017.6</v>
      </c>
      <c r="N298" s="28">
        <v>0</v>
      </c>
      <c r="O298" s="26">
        <v>0</v>
      </c>
      <c r="P298" s="26">
        <v>0</v>
      </c>
      <c r="Q298" s="472"/>
    </row>
    <row r="299" spans="1:17" ht="12.75">
      <c r="A299" s="26">
        <v>962</v>
      </c>
      <c r="B299" s="27" t="s">
        <v>287</v>
      </c>
      <c r="C299" s="26">
        <v>1580</v>
      </c>
      <c r="D299" s="186">
        <v>90</v>
      </c>
      <c r="E299" s="186">
        <v>90</v>
      </c>
      <c r="F299" s="367">
        <f t="shared" si="18"/>
        <v>90</v>
      </c>
      <c r="G299" s="367">
        <v>90</v>
      </c>
      <c r="H299" s="367">
        <v>90</v>
      </c>
      <c r="I299" s="534">
        <f t="shared" si="16"/>
        <v>962</v>
      </c>
      <c r="J299" s="459">
        <v>0</v>
      </c>
      <c r="K299" s="459">
        <v>0</v>
      </c>
      <c r="L299" s="459">
        <v>0</v>
      </c>
      <c r="M299" s="471">
        <f t="shared" si="15"/>
        <v>1670</v>
      </c>
      <c r="N299" s="28">
        <v>0</v>
      </c>
      <c r="O299" s="26">
        <v>0</v>
      </c>
      <c r="P299" s="26">
        <v>0</v>
      </c>
      <c r="Q299" s="472"/>
    </row>
    <row r="300" spans="1:17" ht="12.75">
      <c r="A300" s="26">
        <v>963</v>
      </c>
      <c r="B300" s="27" t="s">
        <v>288</v>
      </c>
      <c r="C300" s="26">
        <v>951</v>
      </c>
      <c r="D300" s="186">
        <v>170</v>
      </c>
      <c r="E300" s="535">
        <v>216</v>
      </c>
      <c r="F300" s="367">
        <v>261</v>
      </c>
      <c r="G300" s="459">
        <v>327</v>
      </c>
      <c r="H300" s="459">
        <v>350</v>
      </c>
      <c r="I300" s="534">
        <f t="shared" si="16"/>
        <v>963</v>
      </c>
      <c r="J300" s="459">
        <v>0</v>
      </c>
      <c r="K300" s="459">
        <v>0</v>
      </c>
      <c r="L300" s="459">
        <v>0</v>
      </c>
      <c r="M300" s="471">
        <f t="shared" si="15"/>
        <v>1278</v>
      </c>
      <c r="N300" s="28">
        <v>0</v>
      </c>
      <c r="O300" s="26">
        <v>0</v>
      </c>
      <c r="P300" s="26">
        <v>0</v>
      </c>
      <c r="Q300" s="472"/>
    </row>
    <row r="301" spans="1:17" ht="12.75">
      <c r="A301" s="26">
        <v>965</v>
      </c>
      <c r="B301" s="27" t="s">
        <v>289</v>
      </c>
      <c r="C301" s="26">
        <v>2913</v>
      </c>
      <c r="D301" s="186">
        <v>0</v>
      </c>
      <c r="E301" s="186">
        <v>0</v>
      </c>
      <c r="F301" s="367">
        <f>IF(C301&lt;972,E301+44,E301)</f>
        <v>0</v>
      </c>
      <c r="G301" s="367">
        <v>0</v>
      </c>
      <c r="H301" s="367">
        <v>0</v>
      </c>
      <c r="I301" s="534">
        <f t="shared" si="16"/>
        <v>965</v>
      </c>
      <c r="J301" s="459">
        <v>0</v>
      </c>
      <c r="K301" s="459">
        <v>0</v>
      </c>
      <c r="L301" s="459">
        <v>0</v>
      </c>
      <c r="M301" s="471">
        <f t="shared" si="15"/>
        <v>2913</v>
      </c>
      <c r="N301" s="28">
        <v>0</v>
      </c>
      <c r="O301" s="26">
        <v>0</v>
      </c>
      <c r="P301" s="26">
        <v>0</v>
      </c>
      <c r="Q301" s="472"/>
    </row>
    <row r="302" spans="1:17" ht="14.25">
      <c r="A302" s="26">
        <v>966</v>
      </c>
      <c r="B302" s="27" t="s">
        <v>290</v>
      </c>
      <c r="C302" s="26">
        <v>1850</v>
      </c>
      <c r="D302" s="186">
        <v>55</v>
      </c>
      <c r="E302" s="186">
        <v>55</v>
      </c>
      <c r="F302" s="367">
        <f>IF(C302&lt;972,E302+44,E302)</f>
        <v>55</v>
      </c>
      <c r="G302" s="367">
        <v>55</v>
      </c>
      <c r="H302" s="367">
        <v>55</v>
      </c>
      <c r="I302" s="534">
        <f t="shared" si="16"/>
        <v>966</v>
      </c>
      <c r="J302" s="459">
        <v>0</v>
      </c>
      <c r="K302" s="459">
        <v>0</v>
      </c>
      <c r="L302" s="498">
        <v>434.5</v>
      </c>
      <c r="M302" s="471">
        <f t="shared" si="15"/>
        <v>2339.5</v>
      </c>
      <c r="N302" s="28">
        <v>0</v>
      </c>
      <c r="O302" s="26">
        <v>0</v>
      </c>
      <c r="P302" s="26">
        <v>0</v>
      </c>
      <c r="Q302" s="472"/>
    </row>
    <row r="303" spans="1:17" ht="12.75">
      <c r="A303" s="26">
        <v>967</v>
      </c>
      <c r="B303" s="27" t="s">
        <v>291</v>
      </c>
      <c r="C303" s="26">
        <v>1564</v>
      </c>
      <c r="D303" s="186">
        <v>93</v>
      </c>
      <c r="E303" s="186">
        <v>93</v>
      </c>
      <c r="F303" s="367">
        <f>IF(C303&lt;972,E303+44,E303)</f>
        <v>93</v>
      </c>
      <c r="G303" s="367">
        <v>93</v>
      </c>
      <c r="H303" s="367">
        <v>93</v>
      </c>
      <c r="I303" s="534">
        <f t="shared" si="16"/>
        <v>967</v>
      </c>
      <c r="J303" s="459">
        <v>0</v>
      </c>
      <c r="K303" s="459">
        <v>0</v>
      </c>
      <c r="L303" s="459">
        <v>0</v>
      </c>
      <c r="M303" s="471">
        <f t="shared" si="15"/>
        <v>1657</v>
      </c>
      <c r="N303" s="28">
        <v>0</v>
      </c>
      <c r="O303" s="26">
        <v>0</v>
      </c>
      <c r="P303" s="26">
        <v>0</v>
      </c>
      <c r="Q303" s="472"/>
    </row>
    <row r="304" spans="1:17" ht="12.75">
      <c r="A304" s="26">
        <v>968</v>
      </c>
      <c r="B304" s="27" t="s">
        <v>240</v>
      </c>
      <c r="C304" s="26">
        <v>1500</v>
      </c>
      <c r="D304" s="186">
        <v>101</v>
      </c>
      <c r="E304" s="186">
        <v>101</v>
      </c>
      <c r="F304" s="367">
        <f>IF(C304&lt;972,E304+44,E304)</f>
        <v>101</v>
      </c>
      <c r="G304" s="367">
        <v>101</v>
      </c>
      <c r="H304" s="367">
        <v>101</v>
      </c>
      <c r="I304" s="534">
        <f t="shared" si="16"/>
        <v>968</v>
      </c>
      <c r="J304" s="459">
        <v>0</v>
      </c>
      <c r="K304" s="459">
        <v>0</v>
      </c>
      <c r="L304" s="459">
        <v>388</v>
      </c>
      <c r="M304" s="471">
        <f t="shared" si="15"/>
        <v>1989</v>
      </c>
      <c r="N304" s="28">
        <v>0</v>
      </c>
      <c r="O304" s="26">
        <v>0</v>
      </c>
      <c r="P304" s="26">
        <v>0</v>
      </c>
      <c r="Q304" s="472"/>
    </row>
    <row r="305" spans="1:17" ht="12.75">
      <c r="A305" s="26">
        <v>969</v>
      </c>
      <c r="B305" s="27" t="s">
        <v>292</v>
      </c>
      <c r="C305" s="26">
        <v>971</v>
      </c>
      <c r="D305" s="186">
        <v>170</v>
      </c>
      <c r="E305" s="535">
        <v>216</v>
      </c>
      <c r="F305" s="367">
        <v>261</v>
      </c>
      <c r="G305" s="459">
        <v>327</v>
      </c>
      <c r="H305" s="459">
        <v>350</v>
      </c>
      <c r="I305" s="534">
        <f t="shared" si="16"/>
        <v>969</v>
      </c>
      <c r="J305" s="459">
        <v>0</v>
      </c>
      <c r="K305" s="459">
        <v>0</v>
      </c>
      <c r="L305" s="459">
        <v>0</v>
      </c>
      <c r="M305" s="471">
        <f t="shared" si="15"/>
        <v>1298</v>
      </c>
      <c r="N305" s="28">
        <v>150</v>
      </c>
      <c r="O305" s="26">
        <v>0</v>
      </c>
      <c r="P305" s="26">
        <v>0</v>
      </c>
      <c r="Q305" s="472"/>
    </row>
    <row r="306" spans="1:17" ht="12.75">
      <c r="A306" s="26">
        <v>970</v>
      </c>
      <c r="B306" s="27" t="s">
        <v>293</v>
      </c>
      <c r="C306" s="26">
        <v>1480</v>
      </c>
      <c r="D306" s="186">
        <v>104</v>
      </c>
      <c r="E306" s="186">
        <v>104</v>
      </c>
      <c r="F306" s="367">
        <f>IF(C306&lt;972,E306+44,E306)</f>
        <v>104</v>
      </c>
      <c r="G306" s="367">
        <v>104</v>
      </c>
      <c r="H306" s="367">
        <v>104</v>
      </c>
      <c r="I306" s="534">
        <f t="shared" si="16"/>
        <v>970</v>
      </c>
      <c r="J306" s="459">
        <v>0</v>
      </c>
      <c r="K306" s="459">
        <v>0</v>
      </c>
      <c r="L306" s="459">
        <v>0</v>
      </c>
      <c r="M306" s="471">
        <f t="shared" si="15"/>
        <v>1584</v>
      </c>
      <c r="N306" s="28">
        <v>0</v>
      </c>
      <c r="O306" s="26">
        <v>0</v>
      </c>
      <c r="P306" s="26">
        <v>0</v>
      </c>
      <c r="Q306" s="472"/>
    </row>
    <row r="307" spans="1:17" ht="12.75">
      <c r="A307" s="26">
        <v>971</v>
      </c>
      <c r="B307" s="27" t="s">
        <v>294</v>
      </c>
      <c r="C307" s="26">
        <v>1400</v>
      </c>
      <c r="D307" s="186">
        <v>114</v>
      </c>
      <c r="E307" s="186">
        <v>114</v>
      </c>
      <c r="F307" s="367">
        <f>IF(C307&lt;972,E307+44,E307)</f>
        <v>114</v>
      </c>
      <c r="G307" s="367">
        <v>114</v>
      </c>
      <c r="H307" s="367">
        <v>114</v>
      </c>
      <c r="I307" s="534">
        <f t="shared" si="16"/>
        <v>971</v>
      </c>
      <c r="J307" s="459">
        <v>0</v>
      </c>
      <c r="K307" s="459">
        <v>116</v>
      </c>
      <c r="L307" s="459">
        <v>233</v>
      </c>
      <c r="M307" s="471">
        <f t="shared" si="15"/>
        <v>1747</v>
      </c>
      <c r="N307" s="28">
        <v>150</v>
      </c>
      <c r="O307" s="26">
        <v>0</v>
      </c>
      <c r="P307" s="26">
        <v>0</v>
      </c>
      <c r="Q307" s="472"/>
    </row>
    <row r="308" spans="1:17" ht="12.75">
      <c r="A308" s="26">
        <v>972</v>
      </c>
      <c r="B308" s="27" t="s">
        <v>295</v>
      </c>
      <c r="C308" s="26">
        <v>1692</v>
      </c>
      <c r="D308" s="186">
        <v>76</v>
      </c>
      <c r="E308" s="186">
        <v>76</v>
      </c>
      <c r="F308" s="367">
        <f>IF(C308&lt;972,E308+44,E308)</f>
        <v>76</v>
      </c>
      <c r="G308" s="367">
        <v>76</v>
      </c>
      <c r="H308" s="367">
        <v>76</v>
      </c>
      <c r="I308" s="534">
        <f t="shared" si="16"/>
        <v>972</v>
      </c>
      <c r="J308" s="459">
        <v>0</v>
      </c>
      <c r="K308" s="459">
        <v>136</v>
      </c>
      <c r="L308" s="459">
        <v>272</v>
      </c>
      <c r="M308" s="471">
        <f t="shared" si="15"/>
        <v>2040</v>
      </c>
      <c r="N308" s="28">
        <v>17</v>
      </c>
      <c r="O308" s="26">
        <v>0</v>
      </c>
      <c r="P308" s="26">
        <v>0</v>
      </c>
      <c r="Q308" s="472"/>
    </row>
    <row r="309" spans="1:17" ht="12.75">
      <c r="A309" s="26">
        <v>973</v>
      </c>
      <c r="B309" s="27" t="s">
        <v>296</v>
      </c>
      <c r="C309" s="26">
        <v>1592</v>
      </c>
      <c r="D309" s="186">
        <v>89</v>
      </c>
      <c r="E309" s="186">
        <v>89</v>
      </c>
      <c r="F309" s="367">
        <f>IF(C309&lt;972,E309+44,E309)</f>
        <v>89</v>
      </c>
      <c r="G309" s="367">
        <v>89</v>
      </c>
      <c r="H309" s="367">
        <v>89</v>
      </c>
      <c r="I309" s="534">
        <f t="shared" si="16"/>
        <v>973</v>
      </c>
      <c r="J309" s="459">
        <v>0</v>
      </c>
      <c r="K309" s="459">
        <v>0</v>
      </c>
      <c r="L309" s="459">
        <v>233</v>
      </c>
      <c r="M309" s="471">
        <f t="shared" si="15"/>
        <v>1914</v>
      </c>
      <c r="N309" s="28">
        <v>17</v>
      </c>
      <c r="O309" s="26">
        <v>0</v>
      </c>
      <c r="P309" s="26">
        <v>0</v>
      </c>
      <c r="Q309" s="472"/>
    </row>
    <row r="310" spans="1:17" ht="12.75">
      <c r="A310" s="26">
        <v>974</v>
      </c>
      <c r="B310" s="27" t="s">
        <v>297</v>
      </c>
      <c r="C310" s="26">
        <v>1500</v>
      </c>
      <c r="D310" s="186">
        <v>101</v>
      </c>
      <c r="E310" s="186">
        <v>101</v>
      </c>
      <c r="F310" s="367">
        <f>IF(C310&lt;972,E310+44,E310)</f>
        <v>101</v>
      </c>
      <c r="G310" s="367">
        <v>101</v>
      </c>
      <c r="H310" s="367">
        <v>101</v>
      </c>
      <c r="I310" s="534">
        <f t="shared" si="16"/>
        <v>974</v>
      </c>
      <c r="J310" s="459">
        <v>0</v>
      </c>
      <c r="K310" s="459">
        <v>0</v>
      </c>
      <c r="L310" s="459">
        <v>0</v>
      </c>
      <c r="M310" s="471">
        <f t="shared" si="15"/>
        <v>1601</v>
      </c>
      <c r="N310" s="28">
        <v>150</v>
      </c>
      <c r="O310" s="26">
        <v>0</v>
      </c>
      <c r="P310" s="26">
        <v>0</v>
      </c>
      <c r="Q310" s="472"/>
    </row>
    <row r="311" spans="1:17" ht="12.75">
      <c r="A311" s="26">
        <v>975</v>
      </c>
      <c r="B311" s="27" t="s">
        <v>298</v>
      </c>
      <c r="C311" s="26">
        <v>971</v>
      </c>
      <c r="D311" s="186">
        <v>170</v>
      </c>
      <c r="E311" s="535">
        <v>216</v>
      </c>
      <c r="F311" s="367">
        <v>261</v>
      </c>
      <c r="G311" s="459">
        <v>327</v>
      </c>
      <c r="H311" s="459">
        <v>350</v>
      </c>
      <c r="I311" s="534">
        <f t="shared" si="16"/>
        <v>975</v>
      </c>
      <c r="J311" s="459">
        <v>0</v>
      </c>
      <c r="K311" s="459">
        <v>0</v>
      </c>
      <c r="L311" s="459">
        <v>0</v>
      </c>
      <c r="M311" s="471">
        <f t="shared" si="15"/>
        <v>1298</v>
      </c>
      <c r="N311" s="28">
        <v>0</v>
      </c>
      <c r="O311" s="26">
        <v>0</v>
      </c>
      <c r="P311" s="26">
        <v>0</v>
      </c>
      <c r="Q311" s="472"/>
    </row>
    <row r="312" spans="1:17" ht="12.75">
      <c r="A312" s="26">
        <v>976</v>
      </c>
      <c r="B312" s="27" t="s">
        <v>299</v>
      </c>
      <c r="C312" s="26">
        <v>971</v>
      </c>
      <c r="D312" s="186">
        <v>170</v>
      </c>
      <c r="E312" s="535">
        <v>216</v>
      </c>
      <c r="F312" s="367">
        <v>261</v>
      </c>
      <c r="G312" s="459">
        <v>327</v>
      </c>
      <c r="H312" s="459">
        <v>350</v>
      </c>
      <c r="I312" s="534">
        <f t="shared" si="16"/>
        <v>976</v>
      </c>
      <c r="J312" s="459">
        <v>0</v>
      </c>
      <c r="K312" s="459">
        <v>0</v>
      </c>
      <c r="L312" s="459">
        <v>0</v>
      </c>
      <c r="M312" s="471">
        <f t="shared" si="15"/>
        <v>1298</v>
      </c>
      <c r="N312" s="28">
        <v>0</v>
      </c>
      <c r="O312" s="26">
        <v>0</v>
      </c>
      <c r="P312" s="26">
        <v>0</v>
      </c>
      <c r="Q312" s="472"/>
    </row>
    <row r="313" spans="1:17" ht="12.75">
      <c r="A313" s="26">
        <v>977</v>
      </c>
      <c r="B313" s="27" t="s">
        <v>300</v>
      </c>
      <c r="C313" s="26">
        <v>971</v>
      </c>
      <c r="D313" s="186">
        <v>170</v>
      </c>
      <c r="E313" s="535">
        <v>216</v>
      </c>
      <c r="F313" s="367">
        <v>261</v>
      </c>
      <c r="G313" s="459">
        <v>327</v>
      </c>
      <c r="H313" s="459">
        <v>350</v>
      </c>
      <c r="I313" s="534">
        <f t="shared" si="16"/>
        <v>977</v>
      </c>
      <c r="J313" s="459">
        <v>0</v>
      </c>
      <c r="K313" s="459">
        <v>0</v>
      </c>
      <c r="L313" s="459">
        <v>0</v>
      </c>
      <c r="M313" s="471">
        <f t="shared" si="15"/>
        <v>1298</v>
      </c>
      <c r="N313" s="28">
        <v>0</v>
      </c>
      <c r="O313" s="26">
        <v>0</v>
      </c>
      <c r="P313" s="26">
        <v>0</v>
      </c>
      <c r="Q313" s="472"/>
    </row>
    <row r="314" spans="1:17" ht="12.75">
      <c r="A314" s="26">
        <v>978</v>
      </c>
      <c r="B314" s="27" t="s">
        <v>301</v>
      </c>
      <c r="C314" s="26">
        <v>1840</v>
      </c>
      <c r="D314" s="186">
        <v>57</v>
      </c>
      <c r="E314" s="186">
        <v>57</v>
      </c>
      <c r="F314" s="367">
        <f>IF(C314&lt;972,E314+44,E314)</f>
        <v>57</v>
      </c>
      <c r="G314" s="367">
        <v>57</v>
      </c>
      <c r="H314" s="367">
        <v>57</v>
      </c>
      <c r="I314" s="534">
        <f t="shared" si="16"/>
        <v>978</v>
      </c>
      <c r="J314" s="459">
        <v>0</v>
      </c>
      <c r="K314" s="459">
        <v>194</v>
      </c>
      <c r="L314" s="459">
        <v>388</v>
      </c>
      <c r="M314" s="471">
        <f t="shared" si="15"/>
        <v>2285</v>
      </c>
      <c r="N314" s="28">
        <v>0</v>
      </c>
      <c r="O314" s="26">
        <v>0</v>
      </c>
      <c r="P314" s="26">
        <v>0</v>
      </c>
      <c r="Q314" s="472"/>
    </row>
    <row r="315" spans="1:17" ht="12.75">
      <c r="A315" s="26">
        <v>979</v>
      </c>
      <c r="B315" s="27" t="s">
        <v>474</v>
      </c>
      <c r="C315" s="26">
        <v>1400</v>
      </c>
      <c r="D315" s="186">
        <v>70</v>
      </c>
      <c r="E315" s="186">
        <v>70</v>
      </c>
      <c r="F315" s="367">
        <f>IF(C315&lt;972,E315+44,E315)</f>
        <v>70</v>
      </c>
      <c r="G315" s="367">
        <v>70</v>
      </c>
      <c r="H315" s="367">
        <v>70</v>
      </c>
      <c r="I315" s="534">
        <f t="shared" si="16"/>
        <v>979</v>
      </c>
      <c r="J315" s="459">
        <v>0</v>
      </c>
      <c r="K315" s="459">
        <v>0</v>
      </c>
      <c r="L315" s="459">
        <v>233</v>
      </c>
      <c r="M315" s="471">
        <f t="shared" si="15"/>
        <v>1703</v>
      </c>
      <c r="N315" s="28">
        <v>0</v>
      </c>
      <c r="O315" s="26">
        <v>0</v>
      </c>
      <c r="P315" s="26">
        <v>0</v>
      </c>
      <c r="Q315" s="472"/>
    </row>
    <row r="316" spans="1:17" ht="12.75">
      <c r="A316" s="26">
        <v>980</v>
      </c>
      <c r="B316" s="27" t="s">
        <v>475</v>
      </c>
      <c r="C316" s="26">
        <v>1300</v>
      </c>
      <c r="D316" s="186">
        <v>222</v>
      </c>
      <c r="E316" s="186">
        <v>216</v>
      </c>
      <c r="F316" s="367">
        <v>261</v>
      </c>
      <c r="G316" s="367">
        <v>127</v>
      </c>
      <c r="H316" s="367">
        <v>127</v>
      </c>
      <c r="I316" s="534">
        <f t="shared" si="16"/>
        <v>980</v>
      </c>
      <c r="J316" s="459">
        <v>0</v>
      </c>
      <c r="K316" s="459">
        <v>0</v>
      </c>
      <c r="L316" s="459">
        <v>233</v>
      </c>
      <c r="M316" s="471">
        <f t="shared" si="15"/>
        <v>1660</v>
      </c>
      <c r="N316" s="28">
        <v>0</v>
      </c>
      <c r="O316" s="26">
        <v>0</v>
      </c>
      <c r="P316" s="26">
        <v>0</v>
      </c>
      <c r="Q316" s="472"/>
    </row>
    <row r="317" spans="1:17" ht="12.75">
      <c r="A317" s="26">
        <v>981</v>
      </c>
      <c r="B317" s="27" t="s">
        <v>476</v>
      </c>
      <c r="C317" s="26">
        <v>1250</v>
      </c>
      <c r="D317" s="186">
        <v>64</v>
      </c>
      <c r="E317" s="186">
        <v>64</v>
      </c>
      <c r="F317" s="367">
        <f>IF(C317&lt;972,E317+44,E317)</f>
        <v>64</v>
      </c>
      <c r="G317" s="367">
        <v>134</v>
      </c>
      <c r="H317" s="367">
        <v>134</v>
      </c>
      <c r="I317" s="534">
        <f t="shared" si="16"/>
        <v>981</v>
      </c>
      <c r="J317" s="459">
        <v>0</v>
      </c>
      <c r="K317" s="459">
        <v>194</v>
      </c>
      <c r="L317" s="459">
        <v>233</v>
      </c>
      <c r="M317" s="471">
        <f t="shared" si="15"/>
        <v>1617</v>
      </c>
      <c r="N317" s="28">
        <v>0</v>
      </c>
      <c r="O317" s="26">
        <v>0</v>
      </c>
      <c r="P317" s="26">
        <v>0</v>
      </c>
      <c r="Q317" s="472"/>
    </row>
    <row r="318" spans="1:17" ht="12.75">
      <c r="A318" s="26">
        <v>982</v>
      </c>
      <c r="B318" s="27" t="s">
        <v>302</v>
      </c>
      <c r="C318" s="26">
        <v>1740</v>
      </c>
      <c r="D318" s="186">
        <v>70</v>
      </c>
      <c r="E318" s="186">
        <v>70</v>
      </c>
      <c r="F318" s="367">
        <f>IF(C318&lt;972,E318+44,E318)</f>
        <v>70</v>
      </c>
      <c r="G318" s="367">
        <v>70</v>
      </c>
      <c r="H318" s="367">
        <v>70</v>
      </c>
      <c r="I318" s="534">
        <f t="shared" si="16"/>
        <v>982</v>
      </c>
      <c r="J318" s="459">
        <v>0</v>
      </c>
      <c r="K318" s="459">
        <v>155</v>
      </c>
      <c r="L318" s="459">
        <v>310</v>
      </c>
      <c r="M318" s="471">
        <f t="shared" si="15"/>
        <v>2120</v>
      </c>
      <c r="N318" s="28">
        <v>0</v>
      </c>
      <c r="O318" s="26">
        <v>0</v>
      </c>
      <c r="P318" s="26">
        <v>0</v>
      </c>
      <c r="Q318" s="472"/>
    </row>
    <row r="319" spans="1:17" ht="12.75">
      <c r="A319" s="26">
        <v>983</v>
      </c>
      <c r="B319" s="27" t="s">
        <v>303</v>
      </c>
      <c r="C319" s="26">
        <v>1170</v>
      </c>
      <c r="D319" s="186">
        <v>144</v>
      </c>
      <c r="E319" s="186">
        <v>144</v>
      </c>
      <c r="F319" s="367">
        <f>IF(C319&lt;972,E319+44,E319)</f>
        <v>144</v>
      </c>
      <c r="G319" s="367">
        <v>144</v>
      </c>
      <c r="H319" s="367">
        <v>144</v>
      </c>
      <c r="I319" s="534">
        <f t="shared" si="16"/>
        <v>983</v>
      </c>
      <c r="J319" s="459">
        <v>0</v>
      </c>
      <c r="K319" s="459">
        <v>0</v>
      </c>
      <c r="L319" s="459">
        <v>0</v>
      </c>
      <c r="M319" s="471">
        <f t="shared" si="15"/>
        <v>1314</v>
      </c>
      <c r="N319" s="28">
        <v>0</v>
      </c>
      <c r="O319" s="26">
        <v>0</v>
      </c>
      <c r="P319" s="26">
        <v>0</v>
      </c>
      <c r="Q319" s="472"/>
    </row>
    <row r="320" spans="1:17" ht="12.75">
      <c r="A320" s="26">
        <v>984</v>
      </c>
      <c r="B320" s="27" t="s">
        <v>304</v>
      </c>
      <c r="C320" s="26">
        <v>690</v>
      </c>
      <c r="D320" s="186">
        <v>207</v>
      </c>
      <c r="E320" s="535">
        <v>216</v>
      </c>
      <c r="F320" s="367">
        <v>261</v>
      </c>
      <c r="G320" s="459">
        <v>327</v>
      </c>
      <c r="H320" s="459">
        <v>350</v>
      </c>
      <c r="I320" s="534">
        <f t="shared" si="16"/>
        <v>984</v>
      </c>
      <c r="J320" s="459">
        <v>0</v>
      </c>
      <c r="K320" s="459">
        <v>0</v>
      </c>
      <c r="L320" s="459">
        <v>0</v>
      </c>
      <c r="M320" s="471">
        <f t="shared" si="15"/>
        <v>1017</v>
      </c>
      <c r="N320" s="28">
        <v>0</v>
      </c>
      <c r="O320" s="26">
        <v>0</v>
      </c>
      <c r="P320" s="26">
        <v>0</v>
      </c>
      <c r="Q320" s="472"/>
    </row>
    <row r="321" spans="1:17" ht="12.75">
      <c r="A321" s="26">
        <v>985</v>
      </c>
      <c r="B321" s="27" t="s">
        <v>305</v>
      </c>
      <c r="C321" s="26">
        <v>2913</v>
      </c>
      <c r="D321" s="186">
        <v>0</v>
      </c>
      <c r="E321" s="186">
        <v>0</v>
      </c>
      <c r="F321" s="367">
        <f>IF(C321&lt;972,E321+44,E321)</f>
        <v>0</v>
      </c>
      <c r="G321" s="367">
        <v>0</v>
      </c>
      <c r="H321" s="367">
        <v>0</v>
      </c>
      <c r="I321" s="534">
        <f t="shared" si="16"/>
        <v>985</v>
      </c>
      <c r="J321" s="459">
        <v>0</v>
      </c>
      <c r="K321" s="459">
        <v>0</v>
      </c>
      <c r="L321" s="459">
        <v>0</v>
      </c>
      <c r="M321" s="471">
        <f t="shared" si="15"/>
        <v>2913</v>
      </c>
      <c r="N321" s="28">
        <v>0</v>
      </c>
      <c r="O321" s="26">
        <v>0</v>
      </c>
      <c r="P321" s="26">
        <v>0</v>
      </c>
      <c r="Q321" s="472"/>
    </row>
    <row r="322" spans="1:17" ht="12.75">
      <c r="A322" s="26">
        <v>986</v>
      </c>
      <c r="B322" s="27" t="s">
        <v>306</v>
      </c>
      <c r="C322" s="26">
        <v>644</v>
      </c>
      <c r="D322" s="186">
        <v>213</v>
      </c>
      <c r="E322" s="535">
        <v>216</v>
      </c>
      <c r="F322" s="367">
        <v>261</v>
      </c>
      <c r="G322" s="459">
        <v>327</v>
      </c>
      <c r="H322" s="459">
        <v>350</v>
      </c>
      <c r="I322" s="534">
        <f t="shared" si="16"/>
        <v>986</v>
      </c>
      <c r="J322" s="459">
        <v>0</v>
      </c>
      <c r="K322" s="459">
        <v>0</v>
      </c>
      <c r="L322" s="459">
        <v>0</v>
      </c>
      <c r="M322" s="471">
        <f t="shared" si="15"/>
        <v>971</v>
      </c>
      <c r="N322" s="28">
        <v>0</v>
      </c>
      <c r="O322" s="26">
        <v>0</v>
      </c>
      <c r="P322" s="26">
        <v>0</v>
      </c>
      <c r="Q322" s="472"/>
    </row>
    <row r="323" spans="1:17" ht="12.75">
      <c r="A323" s="26">
        <v>987</v>
      </c>
      <c r="B323" s="27" t="s">
        <v>161</v>
      </c>
      <c r="C323" s="26">
        <v>1170</v>
      </c>
      <c r="D323" s="186">
        <v>144</v>
      </c>
      <c r="E323" s="186">
        <v>144</v>
      </c>
      <c r="F323" s="367">
        <f aca="true" t="shared" si="19" ref="F323:F335">IF(C323&lt;972,E323+44,E323)</f>
        <v>144</v>
      </c>
      <c r="G323" s="367">
        <v>144</v>
      </c>
      <c r="H323" s="367">
        <v>144</v>
      </c>
      <c r="I323" s="534">
        <f t="shared" si="16"/>
        <v>987</v>
      </c>
      <c r="J323" s="459">
        <v>0</v>
      </c>
      <c r="K323" s="459">
        <v>0</v>
      </c>
      <c r="L323" s="459">
        <v>0</v>
      </c>
      <c r="M323" s="471">
        <f>C323+G323+L323</f>
        <v>1314</v>
      </c>
      <c r="N323" s="28">
        <v>0</v>
      </c>
      <c r="O323" s="26">
        <v>0</v>
      </c>
      <c r="P323" s="26">
        <v>0</v>
      </c>
      <c r="Q323" s="472"/>
    </row>
    <row r="324" spans="1:17" ht="12.75">
      <c r="A324" s="26">
        <v>988</v>
      </c>
      <c r="B324" s="27" t="s">
        <v>307</v>
      </c>
      <c r="C324" s="26">
        <v>2600</v>
      </c>
      <c r="D324" s="186">
        <v>0</v>
      </c>
      <c r="E324" s="186">
        <v>0</v>
      </c>
      <c r="F324" s="367">
        <f t="shared" si="19"/>
        <v>0</v>
      </c>
      <c r="G324" s="367">
        <v>0</v>
      </c>
      <c r="H324" s="367">
        <v>0</v>
      </c>
      <c r="I324" s="534">
        <f t="shared" si="16"/>
        <v>988</v>
      </c>
      <c r="J324" s="459">
        <v>0</v>
      </c>
      <c r="K324" s="459">
        <v>0</v>
      </c>
      <c r="L324" s="459">
        <v>0</v>
      </c>
      <c r="M324" s="471">
        <f>C324+G324+L324</f>
        <v>2600</v>
      </c>
      <c r="N324" s="28">
        <v>0</v>
      </c>
      <c r="O324" s="26">
        <v>0</v>
      </c>
      <c r="P324" s="26">
        <v>0</v>
      </c>
      <c r="Q324" s="472"/>
    </row>
    <row r="325" spans="1:17" ht="12.75">
      <c r="A325" s="26">
        <v>989</v>
      </c>
      <c r="B325" s="27" t="s">
        <v>308</v>
      </c>
      <c r="C325" s="26">
        <v>2840</v>
      </c>
      <c r="D325" s="186">
        <v>0</v>
      </c>
      <c r="E325" s="186">
        <v>0</v>
      </c>
      <c r="F325" s="367">
        <f t="shared" si="19"/>
        <v>0</v>
      </c>
      <c r="G325" s="367">
        <v>0</v>
      </c>
      <c r="H325" s="367">
        <v>0</v>
      </c>
      <c r="I325" s="534">
        <f t="shared" si="16"/>
        <v>989</v>
      </c>
      <c r="J325" s="459">
        <v>0</v>
      </c>
      <c r="K325" s="459">
        <v>0</v>
      </c>
      <c r="L325" s="459">
        <v>0</v>
      </c>
      <c r="M325" s="471">
        <f>C325+G325+L325</f>
        <v>2840</v>
      </c>
      <c r="N325" s="28">
        <v>0</v>
      </c>
      <c r="O325" s="26">
        <v>0</v>
      </c>
      <c r="P325" s="26">
        <v>0</v>
      </c>
      <c r="Q325" s="472"/>
    </row>
    <row r="326" spans="1:17" ht="12.75">
      <c r="A326" s="26">
        <v>990</v>
      </c>
      <c r="B326" s="27" t="s">
        <v>309</v>
      </c>
      <c r="C326" s="26">
        <v>2100</v>
      </c>
      <c r="D326" s="186">
        <v>23</v>
      </c>
      <c r="E326" s="186">
        <v>23</v>
      </c>
      <c r="F326" s="367">
        <f t="shared" si="19"/>
        <v>23</v>
      </c>
      <c r="G326" s="367">
        <v>23</v>
      </c>
      <c r="H326" s="367">
        <v>23</v>
      </c>
      <c r="I326" s="534">
        <f aca="true" t="shared" si="20" ref="I326:I335">A326</f>
        <v>990</v>
      </c>
      <c r="J326" s="459">
        <v>0</v>
      </c>
      <c r="K326" s="459">
        <v>0</v>
      </c>
      <c r="L326" s="459">
        <v>0</v>
      </c>
      <c r="M326" s="471">
        <f>C326+G326+L326</f>
        <v>2123</v>
      </c>
      <c r="N326" s="28">
        <v>0</v>
      </c>
      <c r="O326" s="26">
        <v>0</v>
      </c>
      <c r="P326" s="26">
        <v>0</v>
      </c>
      <c r="Q326" s="472"/>
    </row>
    <row r="327" spans="1:17" ht="12.75">
      <c r="A327" s="26">
        <v>991</v>
      </c>
      <c r="B327" s="27" t="s">
        <v>310</v>
      </c>
      <c r="C327" s="26">
        <v>1850</v>
      </c>
      <c r="D327" s="186">
        <v>55</v>
      </c>
      <c r="E327" s="186">
        <v>55</v>
      </c>
      <c r="F327" s="367">
        <f t="shared" si="19"/>
        <v>55</v>
      </c>
      <c r="G327" s="367">
        <v>55</v>
      </c>
      <c r="H327" s="367">
        <v>55</v>
      </c>
      <c r="I327" s="534">
        <f t="shared" si="20"/>
        <v>991</v>
      </c>
      <c r="J327" s="459">
        <v>0</v>
      </c>
      <c r="K327" s="459">
        <v>0</v>
      </c>
      <c r="L327" s="459">
        <v>0</v>
      </c>
      <c r="M327" s="471">
        <f>C327+G327+L327</f>
        <v>1905</v>
      </c>
      <c r="N327" s="28">
        <v>0</v>
      </c>
      <c r="O327" s="26">
        <v>0</v>
      </c>
      <c r="P327" s="26">
        <v>0</v>
      </c>
      <c r="Q327" s="472"/>
    </row>
    <row r="328" spans="1:17" ht="12.75">
      <c r="A328" s="26">
        <v>992</v>
      </c>
      <c r="B328" s="27" t="s">
        <v>477</v>
      </c>
      <c r="C328" s="26">
        <v>1500</v>
      </c>
      <c r="D328" s="186">
        <v>0</v>
      </c>
      <c r="E328" s="186">
        <v>0</v>
      </c>
      <c r="F328" s="367">
        <f t="shared" si="19"/>
        <v>0</v>
      </c>
      <c r="G328" s="367">
        <v>0</v>
      </c>
      <c r="H328" s="367">
        <v>0</v>
      </c>
      <c r="I328" s="534">
        <f t="shared" si="20"/>
        <v>992</v>
      </c>
      <c r="J328" s="459">
        <v>0</v>
      </c>
      <c r="K328" s="459">
        <v>0</v>
      </c>
      <c r="L328" s="459">
        <v>233</v>
      </c>
      <c r="M328" s="471">
        <f>C328+G328+L328</f>
        <v>1733</v>
      </c>
      <c r="N328" s="28">
        <v>0</v>
      </c>
      <c r="O328" s="26">
        <v>0</v>
      </c>
      <c r="P328" s="26">
        <v>0</v>
      </c>
      <c r="Q328" s="472"/>
    </row>
    <row r="329" spans="1:17" ht="12.75">
      <c r="A329" s="26">
        <v>993</v>
      </c>
      <c r="B329" s="27" t="s">
        <v>311</v>
      </c>
      <c r="C329" s="26">
        <v>2913</v>
      </c>
      <c r="D329" s="186">
        <v>0</v>
      </c>
      <c r="E329" s="186">
        <v>0</v>
      </c>
      <c r="F329" s="367">
        <f t="shared" si="19"/>
        <v>0</v>
      </c>
      <c r="G329" s="367">
        <v>0</v>
      </c>
      <c r="H329" s="367">
        <v>0</v>
      </c>
      <c r="I329" s="534">
        <f t="shared" si="20"/>
        <v>993</v>
      </c>
      <c r="J329" s="459">
        <v>0</v>
      </c>
      <c r="K329" s="459">
        <v>0</v>
      </c>
      <c r="L329" s="459">
        <v>0</v>
      </c>
      <c r="M329" s="471">
        <f>C329+G329+L329</f>
        <v>2913</v>
      </c>
      <c r="N329" s="28">
        <v>0</v>
      </c>
      <c r="O329" s="26">
        <v>0</v>
      </c>
      <c r="P329" s="26">
        <v>0</v>
      </c>
      <c r="Q329" s="472"/>
    </row>
    <row r="330" spans="1:17" ht="14.25">
      <c r="A330" s="26">
        <v>994</v>
      </c>
      <c r="B330" s="27" t="s">
        <v>312</v>
      </c>
      <c r="C330" s="26">
        <v>1580</v>
      </c>
      <c r="D330" s="186">
        <v>90</v>
      </c>
      <c r="E330" s="186">
        <v>90</v>
      </c>
      <c r="F330" s="367">
        <f t="shared" si="19"/>
        <v>90</v>
      </c>
      <c r="G330" s="367">
        <v>90</v>
      </c>
      <c r="H330" s="367">
        <v>90</v>
      </c>
      <c r="I330" s="534">
        <f t="shared" si="20"/>
        <v>994</v>
      </c>
      <c r="J330" s="459">
        <v>0</v>
      </c>
      <c r="K330" s="459">
        <v>0</v>
      </c>
      <c r="L330" s="498">
        <v>347.6</v>
      </c>
      <c r="M330" s="471">
        <f>C330+G330+L330</f>
        <v>2017.6</v>
      </c>
      <c r="N330" s="28">
        <v>0</v>
      </c>
      <c r="O330" s="26">
        <v>0</v>
      </c>
      <c r="P330" s="26">
        <v>0</v>
      </c>
      <c r="Q330" s="472"/>
    </row>
    <row r="331" spans="1:17" ht="12.75">
      <c r="A331" s="26">
        <v>995</v>
      </c>
      <c r="B331" s="27" t="s">
        <v>313</v>
      </c>
      <c r="C331" s="26">
        <v>1564</v>
      </c>
      <c r="D331" s="186">
        <v>93</v>
      </c>
      <c r="E331" s="186">
        <v>93</v>
      </c>
      <c r="F331" s="367">
        <f t="shared" si="19"/>
        <v>93</v>
      </c>
      <c r="G331" s="367">
        <v>93</v>
      </c>
      <c r="H331" s="367">
        <v>93</v>
      </c>
      <c r="I331" s="534">
        <f t="shared" si="20"/>
        <v>995</v>
      </c>
      <c r="J331" s="459">
        <v>0</v>
      </c>
      <c r="K331" s="459">
        <v>0</v>
      </c>
      <c r="L331" s="459">
        <v>0</v>
      </c>
      <c r="M331" s="471">
        <f>C331+G331+L331</f>
        <v>1657</v>
      </c>
      <c r="N331" s="28">
        <v>0</v>
      </c>
      <c r="O331" s="26">
        <v>0</v>
      </c>
      <c r="P331" s="26">
        <v>0</v>
      </c>
      <c r="Q331" s="472"/>
    </row>
    <row r="332" spans="1:17" ht="12.75">
      <c r="A332" s="26">
        <v>996</v>
      </c>
      <c r="B332" s="27" t="s">
        <v>70</v>
      </c>
      <c r="C332" s="26">
        <v>1480</v>
      </c>
      <c r="D332" s="186">
        <v>104</v>
      </c>
      <c r="E332" s="186">
        <v>104</v>
      </c>
      <c r="F332" s="367">
        <f t="shared" si="19"/>
        <v>104</v>
      </c>
      <c r="G332" s="367">
        <v>104</v>
      </c>
      <c r="H332" s="367">
        <v>104</v>
      </c>
      <c r="I332" s="534">
        <f t="shared" si="20"/>
        <v>996</v>
      </c>
      <c r="J332" s="459">
        <v>0</v>
      </c>
      <c r="K332" s="459">
        <v>0</v>
      </c>
      <c r="L332" s="459">
        <v>0</v>
      </c>
      <c r="M332" s="471">
        <f>C332+G332+L332</f>
        <v>1584</v>
      </c>
      <c r="N332" s="28">
        <v>0</v>
      </c>
      <c r="O332" s="26">
        <v>0</v>
      </c>
      <c r="P332" s="26">
        <v>0</v>
      </c>
      <c r="Q332" s="472"/>
    </row>
    <row r="333" spans="1:17" ht="12.75">
      <c r="A333" s="26">
        <v>997</v>
      </c>
      <c r="B333" s="27" t="s">
        <v>314</v>
      </c>
      <c r="C333" s="26">
        <v>1564</v>
      </c>
      <c r="D333" s="186">
        <v>93</v>
      </c>
      <c r="E333" s="186">
        <v>93</v>
      </c>
      <c r="F333" s="367">
        <f t="shared" si="19"/>
        <v>93</v>
      </c>
      <c r="G333" s="367">
        <v>93</v>
      </c>
      <c r="H333" s="367">
        <v>93</v>
      </c>
      <c r="I333" s="534">
        <f t="shared" si="20"/>
        <v>997</v>
      </c>
      <c r="J333" s="459">
        <v>0</v>
      </c>
      <c r="K333" s="459">
        <v>0</v>
      </c>
      <c r="L333" s="459">
        <v>0</v>
      </c>
      <c r="M333" s="471">
        <f>C333+G333+L333</f>
        <v>1657</v>
      </c>
      <c r="N333" s="28">
        <v>0</v>
      </c>
      <c r="O333" s="26">
        <v>0</v>
      </c>
      <c r="P333" s="26">
        <v>0</v>
      </c>
      <c r="Q333" s="472"/>
    </row>
    <row r="334" spans="1:17" ht="12.75">
      <c r="A334" s="26">
        <v>998</v>
      </c>
      <c r="B334" s="27" t="s">
        <v>315</v>
      </c>
      <c r="C334" s="26">
        <v>2220</v>
      </c>
      <c r="D334" s="186">
        <v>7</v>
      </c>
      <c r="E334" s="186">
        <v>7</v>
      </c>
      <c r="F334" s="367">
        <f t="shared" si="19"/>
        <v>7</v>
      </c>
      <c r="G334" s="367">
        <v>7</v>
      </c>
      <c r="H334" s="367">
        <v>7</v>
      </c>
      <c r="I334" s="534">
        <f t="shared" si="20"/>
        <v>998</v>
      </c>
      <c r="J334" s="459">
        <v>0</v>
      </c>
      <c r="K334" s="459">
        <v>0</v>
      </c>
      <c r="L334" s="459">
        <v>0</v>
      </c>
      <c r="M334" s="471">
        <f>C334+G334+L334</f>
        <v>2227</v>
      </c>
      <c r="N334" s="28">
        <v>0</v>
      </c>
      <c r="O334" s="26">
        <v>0</v>
      </c>
      <c r="P334" s="26">
        <v>0</v>
      </c>
      <c r="Q334" s="472"/>
    </row>
    <row r="335" spans="1:17" s="553" customFormat="1" ht="12.75">
      <c r="A335" s="26">
        <v>999</v>
      </c>
      <c r="B335" s="27" t="s">
        <v>478</v>
      </c>
      <c r="C335" s="26">
        <v>1250</v>
      </c>
      <c r="D335" s="186">
        <v>0</v>
      </c>
      <c r="E335" s="186">
        <v>0</v>
      </c>
      <c r="F335" s="471">
        <f t="shared" si="19"/>
        <v>0</v>
      </c>
      <c r="G335" s="471">
        <v>134</v>
      </c>
      <c r="H335" s="471">
        <v>134</v>
      </c>
      <c r="I335" s="551">
        <f t="shared" si="20"/>
        <v>999</v>
      </c>
      <c r="J335" s="552">
        <v>0</v>
      </c>
      <c r="K335" s="552">
        <v>0</v>
      </c>
      <c r="L335" s="552">
        <v>233</v>
      </c>
      <c r="M335" s="471">
        <f>C335+G335+L335</f>
        <v>1617</v>
      </c>
      <c r="N335" s="28">
        <v>0</v>
      </c>
      <c r="O335" s="26">
        <v>0</v>
      </c>
      <c r="P335" s="26">
        <v>0</v>
      </c>
      <c r="Q335" s="472"/>
    </row>
    <row r="336" spans="1:16" s="215" customFormat="1" ht="12.75">
      <c r="A336" s="547"/>
      <c r="B336" s="548"/>
      <c r="C336" s="547"/>
      <c r="D336" s="549"/>
      <c r="E336" s="549"/>
      <c r="F336" s="549"/>
      <c r="G336" s="549"/>
      <c r="H336" s="549"/>
      <c r="I336" s="549"/>
      <c r="J336" s="550"/>
      <c r="K336" s="550"/>
      <c r="L336" s="550"/>
      <c r="M336" s="549"/>
      <c r="N336" s="547"/>
      <c r="O336" s="547"/>
      <c r="P336" s="547"/>
    </row>
    <row r="337" spans="1:16" s="215" customFormat="1" ht="12.75">
      <c r="A337" s="547"/>
      <c r="B337" s="548"/>
      <c r="C337" s="547"/>
      <c r="D337" s="549"/>
      <c r="E337" s="549"/>
      <c r="F337" s="549"/>
      <c r="G337" s="549"/>
      <c r="H337" s="549"/>
      <c r="I337" s="549"/>
      <c r="J337" s="550"/>
      <c r="K337" s="550"/>
      <c r="L337" s="550"/>
      <c r="M337" s="549"/>
      <c r="N337" s="547"/>
      <c r="O337" s="547"/>
      <c r="P337" s="547"/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360"/>
  <sheetViews>
    <sheetView showGridLines="0" zoomScale="85" zoomScaleNormal="85" zoomScalePageLayoutView="0" workbookViewId="0" topLeftCell="A1">
      <pane ySplit="1" topLeftCell="A202" activePane="bottomLeft" state="frozen"/>
      <selection pane="topLeft" activeCell="C1" sqref="C1"/>
      <selection pane="bottomLeft" activeCell="I54" sqref="I54"/>
    </sheetView>
  </sheetViews>
  <sheetFormatPr defaultColWidth="11.421875" defaultRowHeight="12.75"/>
  <cols>
    <col min="1" max="2" width="3.28125" style="0" customWidth="1"/>
    <col min="3" max="3" width="4.28125" style="0" customWidth="1"/>
    <col min="4" max="4" width="13.00390625" style="0" customWidth="1"/>
    <col min="5" max="5" width="23.7109375" style="0" customWidth="1"/>
    <col min="6" max="6" width="25.57421875" style="0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9.28125" style="0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1:8" s="177" customFormat="1" ht="18.75" thickBot="1">
      <c r="A1" s="406"/>
      <c r="B1" s="406"/>
      <c r="C1" s="407"/>
      <c r="D1" s="178" t="s">
        <v>350</v>
      </c>
      <c r="E1" s="179" t="s">
        <v>351</v>
      </c>
      <c r="F1" s="180" t="s">
        <v>352</v>
      </c>
      <c r="G1" s="181" t="s">
        <v>353</v>
      </c>
      <c r="H1" s="182" t="s">
        <v>354</v>
      </c>
    </row>
    <row r="2" spans="1:15" ht="18.75" thickTop="1">
      <c r="A2" s="132"/>
      <c r="B2" s="132"/>
      <c r="C2" s="257"/>
      <c r="D2" s="257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8">
      <c r="A3" s="132"/>
      <c r="B3" s="132"/>
      <c r="C3" s="258" t="s">
        <v>374</v>
      </c>
      <c r="D3" s="25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3:4" s="208" customFormat="1" ht="18.75" hidden="1" thickBot="1">
      <c r="C4" s="338"/>
      <c r="D4" s="339"/>
    </row>
    <row r="5" spans="3:4" s="132" customFormat="1" ht="21" thickBot="1">
      <c r="C5" s="258"/>
      <c r="D5" s="405" t="s">
        <v>395</v>
      </c>
    </row>
    <row r="6" spans="3:7" s="348" customFormat="1" ht="21" thickBot="1">
      <c r="C6" s="347"/>
      <c r="D6" s="349" t="s">
        <v>371</v>
      </c>
      <c r="E6" s="350"/>
      <c r="F6" s="359">
        <v>0.82</v>
      </c>
      <c r="G6" s="358" t="s">
        <v>376</v>
      </c>
    </row>
    <row r="7" spans="3:4" s="208" customFormat="1" ht="18" hidden="1">
      <c r="C7" s="338"/>
      <c r="D7" s="339"/>
    </row>
    <row r="8" spans="3:4" s="208" customFormat="1" ht="18" hidden="1">
      <c r="C8" s="338"/>
      <c r="D8" s="339"/>
    </row>
    <row r="9" spans="1:15" ht="18">
      <c r="A9" s="132"/>
      <c r="B9" s="132"/>
      <c r="C9" s="258"/>
      <c r="D9" s="257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6:20" ht="16.5" hidden="1" thickBot="1">
      <c r="F10" t="s">
        <v>354</v>
      </c>
      <c r="G10" s="10" t="s">
        <v>356</v>
      </c>
      <c r="H10" s="10" t="s">
        <v>357</v>
      </c>
      <c r="I10" s="124" t="s">
        <v>358</v>
      </c>
      <c r="J10" s="124" t="s">
        <v>359</v>
      </c>
      <c r="K10" s="124" t="s">
        <v>360</v>
      </c>
      <c r="L10" s="124" t="s">
        <v>361</v>
      </c>
      <c r="M10" s="124" t="s">
        <v>362</v>
      </c>
      <c r="N10" s="124" t="s">
        <v>363</v>
      </c>
      <c r="O10" s="126" t="s">
        <v>364</v>
      </c>
      <c r="P10" s="126">
        <v>1</v>
      </c>
      <c r="Q10" s="126">
        <v>2</v>
      </c>
      <c r="R10" s="126">
        <v>3</v>
      </c>
      <c r="S10" s="126">
        <v>4</v>
      </c>
      <c r="T10" s="126">
        <v>5</v>
      </c>
    </row>
    <row r="11" spans="1:20" ht="15.75" hidden="1">
      <c r="A11">
        <v>1</v>
      </c>
      <c r="E11" s="115">
        <v>0</v>
      </c>
      <c r="F11" s="340" t="e">
        <f aca="true" t="shared" si="0" ref="F11:F22">IF(puntosproljorvarios1&lt;620,T11,O11)</f>
        <v>#NAME?</v>
      </c>
      <c r="G11" s="334">
        <v>409</v>
      </c>
      <c r="H11" s="334">
        <v>99</v>
      </c>
      <c r="I11" s="334">
        <v>0</v>
      </c>
      <c r="J11" s="334">
        <v>0</v>
      </c>
      <c r="K11" s="334">
        <v>0</v>
      </c>
      <c r="L11" s="334">
        <v>0</v>
      </c>
      <c r="M11" s="334">
        <v>99</v>
      </c>
      <c r="N11" s="334">
        <v>99</v>
      </c>
      <c r="O11" s="127">
        <f>IF(punbasjubvarios1&gt;971,N11,M11)</f>
        <v>99</v>
      </c>
      <c r="P11" s="127">
        <f aca="true" t="shared" si="1" ref="P11:P22">IF(punbasjubvarios1&lt;972,G11,H11)</f>
        <v>99</v>
      </c>
      <c r="Q11" s="127">
        <f aca="true" t="shared" si="2" ref="Q11:Q22">IF(punbasjubvarios1&lt;1170,P11,I11)</f>
        <v>0</v>
      </c>
      <c r="R11" s="127">
        <f aca="true" t="shared" si="3" ref="R11:R22">IF(punbasjubvarios1&lt;1401,Q11,J11)</f>
        <v>0</v>
      </c>
      <c r="S11" s="127">
        <f aca="true" t="shared" si="4" ref="S11:S22">IF(punbasjubvarios1&lt;1943,R11,K11)</f>
        <v>0</v>
      </c>
      <c r="T11" s="127">
        <f aca="true" t="shared" si="5" ref="T11:T22">IF(punbasjubvarios1&lt;=2220,S11,L11)</f>
        <v>0</v>
      </c>
    </row>
    <row r="12" spans="1:20" ht="15.75" hidden="1">
      <c r="A12">
        <v>1</v>
      </c>
      <c r="E12" s="116">
        <v>0.1</v>
      </c>
      <c r="F12" s="340" t="e">
        <f t="shared" si="0"/>
        <v>#NAME?</v>
      </c>
      <c r="G12" s="334">
        <v>581</v>
      </c>
      <c r="H12" s="334">
        <v>112</v>
      </c>
      <c r="I12" s="334">
        <v>0</v>
      </c>
      <c r="J12" s="334">
        <v>0</v>
      </c>
      <c r="K12" s="334">
        <v>0</v>
      </c>
      <c r="L12" s="334">
        <v>0</v>
      </c>
      <c r="M12" s="334">
        <v>112</v>
      </c>
      <c r="N12" s="334">
        <v>112</v>
      </c>
      <c r="O12" s="127">
        <f aca="true" t="shared" si="6" ref="O12:O22">IF(punbasjubvarios1&gt;971,N12,M12)</f>
        <v>112</v>
      </c>
      <c r="P12" s="127">
        <f t="shared" si="1"/>
        <v>112</v>
      </c>
      <c r="Q12" s="127">
        <f t="shared" si="2"/>
        <v>0</v>
      </c>
      <c r="R12" s="127">
        <f t="shared" si="3"/>
        <v>0</v>
      </c>
      <c r="S12" s="127">
        <f t="shared" si="4"/>
        <v>0</v>
      </c>
      <c r="T12" s="127">
        <f t="shared" si="5"/>
        <v>0</v>
      </c>
    </row>
    <row r="13" spans="1:20" ht="15.75" hidden="1">
      <c r="A13">
        <v>1</v>
      </c>
      <c r="E13" s="117">
        <v>0.15</v>
      </c>
      <c r="F13" s="340" t="e">
        <f t="shared" si="0"/>
        <v>#NAME?</v>
      </c>
      <c r="G13" s="334">
        <v>705</v>
      </c>
      <c r="H13" s="334">
        <v>224</v>
      </c>
      <c r="I13" s="334">
        <v>298</v>
      </c>
      <c r="J13" s="334">
        <v>240</v>
      </c>
      <c r="K13" s="334">
        <v>224</v>
      </c>
      <c r="L13" s="334">
        <v>0</v>
      </c>
      <c r="M13" s="334">
        <v>273</v>
      </c>
      <c r="N13" s="334">
        <v>273</v>
      </c>
      <c r="O13" s="127">
        <f t="shared" si="6"/>
        <v>273</v>
      </c>
      <c r="P13" s="127">
        <f t="shared" si="1"/>
        <v>224</v>
      </c>
      <c r="Q13" s="127">
        <f t="shared" si="2"/>
        <v>298</v>
      </c>
      <c r="R13" s="127">
        <f t="shared" si="3"/>
        <v>298</v>
      </c>
      <c r="S13" s="127">
        <f t="shared" si="4"/>
        <v>298</v>
      </c>
      <c r="T13" s="127">
        <f t="shared" si="5"/>
        <v>298</v>
      </c>
    </row>
    <row r="14" spans="1:20" ht="15.75" hidden="1">
      <c r="A14">
        <v>1</v>
      </c>
      <c r="E14" s="117">
        <v>0.3</v>
      </c>
      <c r="F14" s="340" t="e">
        <f t="shared" si="0"/>
        <v>#NAME?</v>
      </c>
      <c r="G14" s="334">
        <v>733</v>
      </c>
      <c r="H14" s="334">
        <v>242</v>
      </c>
      <c r="I14" s="334">
        <v>298</v>
      </c>
      <c r="J14" s="334">
        <v>240</v>
      </c>
      <c r="K14" s="334">
        <v>224</v>
      </c>
      <c r="L14" s="334">
        <v>0</v>
      </c>
      <c r="M14" s="334">
        <v>472</v>
      </c>
      <c r="N14" s="334">
        <v>435</v>
      </c>
      <c r="O14" s="127">
        <f t="shared" si="6"/>
        <v>435</v>
      </c>
      <c r="P14" s="127">
        <f t="shared" si="1"/>
        <v>242</v>
      </c>
      <c r="Q14" s="127">
        <f t="shared" si="2"/>
        <v>298</v>
      </c>
      <c r="R14" s="127">
        <f t="shared" si="3"/>
        <v>298</v>
      </c>
      <c r="S14" s="127">
        <f t="shared" si="4"/>
        <v>298</v>
      </c>
      <c r="T14" s="127">
        <f t="shared" si="5"/>
        <v>298</v>
      </c>
    </row>
    <row r="15" spans="1:20" ht="15.75" hidden="1">
      <c r="A15">
        <v>1</v>
      </c>
      <c r="E15" s="117">
        <v>0.4</v>
      </c>
      <c r="F15" s="340" t="e">
        <f t="shared" si="0"/>
        <v>#NAME?</v>
      </c>
      <c r="G15" s="334">
        <v>796</v>
      </c>
      <c r="H15" s="334">
        <v>261</v>
      </c>
      <c r="I15" s="334">
        <v>311</v>
      </c>
      <c r="J15" s="334">
        <v>248</v>
      </c>
      <c r="K15" s="334">
        <v>224</v>
      </c>
      <c r="L15" s="334">
        <v>174</v>
      </c>
      <c r="M15" s="334">
        <v>546</v>
      </c>
      <c r="N15" s="334">
        <v>497</v>
      </c>
      <c r="O15" s="127">
        <f t="shared" si="6"/>
        <v>497</v>
      </c>
      <c r="P15" s="127">
        <f t="shared" si="1"/>
        <v>261</v>
      </c>
      <c r="Q15" s="127">
        <f t="shared" si="2"/>
        <v>311</v>
      </c>
      <c r="R15" s="127">
        <f t="shared" si="3"/>
        <v>311</v>
      </c>
      <c r="S15" s="127">
        <f t="shared" si="4"/>
        <v>311</v>
      </c>
      <c r="T15" s="127">
        <f t="shared" si="5"/>
        <v>311</v>
      </c>
    </row>
    <row r="16" spans="1:20" ht="15.75" hidden="1">
      <c r="A16">
        <v>1</v>
      </c>
      <c r="E16" s="117">
        <v>0.5</v>
      </c>
      <c r="F16" s="340" t="e">
        <f t="shared" si="0"/>
        <v>#NAME?</v>
      </c>
      <c r="G16" s="334">
        <v>575</v>
      </c>
      <c r="H16" s="334">
        <v>286</v>
      </c>
      <c r="I16" s="334">
        <v>311</v>
      </c>
      <c r="J16" s="334">
        <v>248</v>
      </c>
      <c r="K16" s="334">
        <v>224</v>
      </c>
      <c r="L16" s="334">
        <v>174</v>
      </c>
      <c r="M16" s="334">
        <v>590</v>
      </c>
      <c r="N16" s="334">
        <v>540</v>
      </c>
      <c r="O16" s="127">
        <f t="shared" si="6"/>
        <v>540</v>
      </c>
      <c r="P16" s="127">
        <f t="shared" si="1"/>
        <v>286</v>
      </c>
      <c r="Q16" s="127">
        <f t="shared" si="2"/>
        <v>311</v>
      </c>
      <c r="R16" s="127">
        <f t="shared" si="3"/>
        <v>311</v>
      </c>
      <c r="S16" s="127">
        <f t="shared" si="4"/>
        <v>311</v>
      </c>
      <c r="T16" s="127">
        <f t="shared" si="5"/>
        <v>311</v>
      </c>
    </row>
    <row r="17" spans="1:20" ht="15.75" hidden="1">
      <c r="A17">
        <v>1</v>
      </c>
      <c r="E17" s="117">
        <v>0.6</v>
      </c>
      <c r="F17" s="340" t="e">
        <f t="shared" si="0"/>
        <v>#NAME?</v>
      </c>
      <c r="G17" s="334">
        <v>578</v>
      </c>
      <c r="H17" s="334">
        <v>323</v>
      </c>
      <c r="I17" s="334">
        <v>323</v>
      </c>
      <c r="J17" s="334">
        <v>252</v>
      </c>
      <c r="K17" s="334">
        <v>236</v>
      </c>
      <c r="L17" s="334">
        <v>199</v>
      </c>
      <c r="M17" s="334">
        <v>633</v>
      </c>
      <c r="N17" s="334">
        <v>559</v>
      </c>
      <c r="O17" s="127">
        <f t="shared" si="6"/>
        <v>559</v>
      </c>
      <c r="P17" s="127">
        <f t="shared" si="1"/>
        <v>323</v>
      </c>
      <c r="Q17" s="127">
        <f t="shared" si="2"/>
        <v>323</v>
      </c>
      <c r="R17" s="127">
        <f t="shared" si="3"/>
        <v>323</v>
      </c>
      <c r="S17" s="127">
        <f t="shared" si="4"/>
        <v>323</v>
      </c>
      <c r="T17" s="127">
        <f t="shared" si="5"/>
        <v>323</v>
      </c>
    </row>
    <row r="18" spans="1:20" ht="15.75" hidden="1">
      <c r="A18">
        <v>1</v>
      </c>
      <c r="E18" s="117">
        <v>0.7</v>
      </c>
      <c r="F18" s="340" t="e">
        <f t="shared" si="0"/>
        <v>#NAME?</v>
      </c>
      <c r="G18" s="334">
        <v>553</v>
      </c>
      <c r="H18" s="334">
        <v>354</v>
      </c>
      <c r="I18" s="334">
        <v>453</v>
      </c>
      <c r="J18" s="334">
        <v>286</v>
      </c>
      <c r="K18" s="334">
        <v>236</v>
      </c>
      <c r="L18" s="334">
        <v>199</v>
      </c>
      <c r="M18" s="334">
        <v>652</v>
      </c>
      <c r="N18" s="334">
        <v>578</v>
      </c>
      <c r="O18" s="127">
        <f t="shared" si="6"/>
        <v>578</v>
      </c>
      <c r="P18" s="127">
        <f t="shared" si="1"/>
        <v>354</v>
      </c>
      <c r="Q18" s="127">
        <f t="shared" si="2"/>
        <v>453</v>
      </c>
      <c r="R18" s="127">
        <f t="shared" si="3"/>
        <v>453</v>
      </c>
      <c r="S18" s="127">
        <f t="shared" si="4"/>
        <v>453</v>
      </c>
      <c r="T18" s="127">
        <f t="shared" si="5"/>
        <v>453</v>
      </c>
    </row>
    <row r="19" spans="1:20" ht="15.75" hidden="1">
      <c r="A19">
        <v>1</v>
      </c>
      <c r="E19" s="117">
        <v>0.8</v>
      </c>
      <c r="F19" s="340" t="e">
        <f t="shared" si="0"/>
        <v>#NAME?</v>
      </c>
      <c r="G19" s="334">
        <v>664</v>
      </c>
      <c r="H19" s="334">
        <v>428</v>
      </c>
      <c r="I19" s="334">
        <v>491</v>
      </c>
      <c r="J19" s="334">
        <v>422</v>
      </c>
      <c r="K19" s="334">
        <v>348</v>
      </c>
      <c r="L19" s="334">
        <v>224</v>
      </c>
      <c r="M19" s="334">
        <v>689</v>
      </c>
      <c r="N19" s="334">
        <v>590</v>
      </c>
      <c r="O19" s="127">
        <f t="shared" si="6"/>
        <v>590</v>
      </c>
      <c r="P19" s="127">
        <f t="shared" si="1"/>
        <v>428</v>
      </c>
      <c r="Q19" s="127">
        <f t="shared" si="2"/>
        <v>491</v>
      </c>
      <c r="R19" s="127">
        <f t="shared" si="3"/>
        <v>491</v>
      </c>
      <c r="S19" s="127">
        <f t="shared" si="4"/>
        <v>491</v>
      </c>
      <c r="T19" s="127">
        <f t="shared" si="5"/>
        <v>491</v>
      </c>
    </row>
    <row r="20" spans="1:20" ht="15.75" hidden="1">
      <c r="A20">
        <v>1</v>
      </c>
      <c r="E20" s="117">
        <v>1</v>
      </c>
      <c r="F20" s="340" t="e">
        <f t="shared" si="0"/>
        <v>#NAME?</v>
      </c>
      <c r="G20" s="334">
        <v>826</v>
      </c>
      <c r="H20" s="334">
        <v>540</v>
      </c>
      <c r="I20" s="334">
        <v>509</v>
      </c>
      <c r="J20" s="334">
        <v>410</v>
      </c>
      <c r="K20" s="334">
        <v>385</v>
      </c>
      <c r="L20" s="334">
        <v>224</v>
      </c>
      <c r="M20" s="334">
        <v>733</v>
      </c>
      <c r="N20" s="334">
        <v>609</v>
      </c>
      <c r="O20" s="127">
        <f t="shared" si="6"/>
        <v>609</v>
      </c>
      <c r="P20" s="127">
        <f t="shared" si="1"/>
        <v>540</v>
      </c>
      <c r="Q20" s="127">
        <f t="shared" si="2"/>
        <v>509</v>
      </c>
      <c r="R20" s="127">
        <f t="shared" si="3"/>
        <v>509</v>
      </c>
      <c r="S20" s="127">
        <f t="shared" si="4"/>
        <v>509</v>
      </c>
      <c r="T20" s="127">
        <f t="shared" si="5"/>
        <v>509</v>
      </c>
    </row>
    <row r="21" spans="1:20" ht="15.75" hidden="1">
      <c r="A21">
        <v>1</v>
      </c>
      <c r="E21" s="117">
        <v>1.1</v>
      </c>
      <c r="F21" s="340" t="e">
        <f t="shared" si="0"/>
        <v>#NAME?</v>
      </c>
      <c r="G21" s="334">
        <v>925</v>
      </c>
      <c r="H21" s="334">
        <v>615</v>
      </c>
      <c r="I21" s="334">
        <v>534</v>
      </c>
      <c r="J21" s="334">
        <v>410</v>
      </c>
      <c r="K21" s="334">
        <v>397</v>
      </c>
      <c r="L21" s="334">
        <v>236</v>
      </c>
      <c r="M21" s="334">
        <v>764</v>
      </c>
      <c r="N21" s="334">
        <v>627</v>
      </c>
      <c r="O21" s="127">
        <f t="shared" si="6"/>
        <v>627</v>
      </c>
      <c r="P21" s="127">
        <f t="shared" si="1"/>
        <v>615</v>
      </c>
      <c r="Q21" s="127">
        <f t="shared" si="2"/>
        <v>534</v>
      </c>
      <c r="R21" s="127">
        <f t="shared" si="3"/>
        <v>534</v>
      </c>
      <c r="S21" s="127">
        <f t="shared" si="4"/>
        <v>534</v>
      </c>
      <c r="T21" s="127">
        <f t="shared" si="5"/>
        <v>534</v>
      </c>
    </row>
    <row r="22" spans="1:20" ht="16.5" hidden="1" thickBot="1">
      <c r="A22">
        <v>1</v>
      </c>
      <c r="E22" s="118">
        <v>1.2</v>
      </c>
      <c r="F22" s="340" t="e">
        <f t="shared" si="0"/>
        <v>#NAME?</v>
      </c>
      <c r="G22" s="334">
        <v>956</v>
      </c>
      <c r="H22" s="334">
        <v>633</v>
      </c>
      <c r="I22" s="334">
        <v>596</v>
      </c>
      <c r="J22" s="334">
        <v>416</v>
      </c>
      <c r="K22" s="334">
        <v>410</v>
      </c>
      <c r="L22" s="334">
        <v>236</v>
      </c>
      <c r="M22" s="334">
        <v>770</v>
      </c>
      <c r="N22" s="334">
        <v>633</v>
      </c>
      <c r="O22" s="127">
        <f t="shared" si="6"/>
        <v>633</v>
      </c>
      <c r="P22" s="127">
        <f t="shared" si="1"/>
        <v>633</v>
      </c>
      <c r="Q22" s="127">
        <f t="shared" si="2"/>
        <v>596</v>
      </c>
      <c r="R22" s="127">
        <f t="shared" si="3"/>
        <v>596</v>
      </c>
      <c r="S22" s="127">
        <f t="shared" si="4"/>
        <v>596</v>
      </c>
      <c r="T22" s="127">
        <f t="shared" si="5"/>
        <v>596</v>
      </c>
    </row>
    <row r="23" spans="5:20" s="208" customFormat="1" ht="15.75" hidden="1">
      <c r="E23" s="209"/>
      <c r="F23" s="135"/>
      <c r="G23" s="135"/>
      <c r="H23" s="210"/>
      <c r="I23" s="211"/>
      <c r="J23" s="211"/>
      <c r="K23" s="135"/>
      <c r="L23" s="11"/>
      <c r="M23" s="125"/>
      <c r="N23" s="125"/>
      <c r="O23" s="125"/>
      <c r="P23" s="125"/>
      <c r="Q23" s="125"/>
      <c r="R23" s="125"/>
      <c r="S23" s="125"/>
      <c r="T23" s="125"/>
    </row>
    <row r="24" spans="5:20" s="208" customFormat="1" ht="15.75" hidden="1">
      <c r="E24" s="209"/>
      <c r="F24" s="135" t="s">
        <v>386</v>
      </c>
      <c r="G24" s="135" t="e">
        <f>LOOKUP(F56,porantvar1,cod06cargosvar1feb11)</f>
        <v>#NAME?</v>
      </c>
      <c r="H24" s="210"/>
      <c r="I24" s="211"/>
      <c r="J24" s="211"/>
      <c r="K24" s="135"/>
      <c r="L24" s="11"/>
      <c r="M24" s="125"/>
      <c r="N24" s="125"/>
      <c r="O24" s="125"/>
      <c r="P24" s="125"/>
      <c r="Q24" s="125"/>
      <c r="R24" s="125"/>
      <c r="S24" s="125"/>
      <c r="T24" s="125"/>
    </row>
    <row r="25" spans="5:20" s="208" customFormat="1" ht="15.75" hidden="1">
      <c r="E25" s="209"/>
      <c r="F25" s="135"/>
      <c r="G25" s="135"/>
      <c r="H25" s="210"/>
      <c r="I25" s="211"/>
      <c r="J25" s="211"/>
      <c r="K25" s="135"/>
      <c r="L25" s="11"/>
      <c r="M25" s="125"/>
      <c r="N25" s="125"/>
      <c r="O25" s="125"/>
      <c r="P25" s="125"/>
      <c r="Q25" s="125"/>
      <c r="R25" s="125"/>
      <c r="S25" s="125"/>
      <c r="T25" s="125"/>
    </row>
    <row r="26" spans="5:20" s="208" customFormat="1" ht="16.5" hidden="1" thickBot="1">
      <c r="E26"/>
      <c r="F26" t="s">
        <v>354</v>
      </c>
      <c r="G26" s="10" t="s">
        <v>356</v>
      </c>
      <c r="H26" s="10" t="s">
        <v>357</v>
      </c>
      <c r="I26" s="124" t="s">
        <v>358</v>
      </c>
      <c r="J26" s="124" t="s">
        <v>359</v>
      </c>
      <c r="K26" s="124" t="s">
        <v>360</v>
      </c>
      <c r="L26" s="124" t="s">
        <v>361</v>
      </c>
      <c r="M26" s="124" t="s">
        <v>362</v>
      </c>
      <c r="N26" s="124" t="s">
        <v>363</v>
      </c>
      <c r="O26" s="126" t="s">
        <v>364</v>
      </c>
      <c r="P26" s="126">
        <v>1</v>
      </c>
      <c r="Q26" s="126">
        <v>2</v>
      </c>
      <c r="R26" s="126">
        <v>3</v>
      </c>
      <c r="S26" s="126">
        <v>4</v>
      </c>
      <c r="T26" s="126">
        <v>5</v>
      </c>
    </row>
    <row r="27" spans="1:20" s="208" customFormat="1" ht="15.75" hidden="1">
      <c r="A27" s="208">
        <v>1</v>
      </c>
      <c r="E27" s="115">
        <v>0</v>
      </c>
      <c r="F27" s="340" t="e">
        <f aca="true" t="shared" si="7" ref="F27:F38">IF(puntosproljorvarios1&lt;620,T27,O27)</f>
        <v>#NAME?</v>
      </c>
      <c r="G27" s="10">
        <v>499</v>
      </c>
      <c r="H27" s="10">
        <v>121</v>
      </c>
      <c r="I27" s="10">
        <v>0</v>
      </c>
      <c r="J27" s="10">
        <v>0</v>
      </c>
      <c r="K27" s="10">
        <v>0</v>
      </c>
      <c r="L27" s="10">
        <v>0</v>
      </c>
      <c r="M27" s="10">
        <v>121</v>
      </c>
      <c r="N27" s="10">
        <v>121</v>
      </c>
      <c r="O27" s="127">
        <f>IF(punbasjubvarios1&gt;971,N27,M27)</f>
        <v>121</v>
      </c>
      <c r="P27" s="127">
        <f aca="true" t="shared" si="8" ref="P27:P38">IF(punbasjubvarios1&lt;972,G27,H27)</f>
        <v>121</v>
      </c>
      <c r="Q27" s="127">
        <f aca="true" t="shared" si="9" ref="Q27:Q38">IF(punbasjubvarios1&lt;1170,P27,I27)</f>
        <v>0</v>
      </c>
      <c r="R27" s="127">
        <f aca="true" t="shared" si="10" ref="R27:R38">IF(punbasjubvarios1&lt;1401,Q27,J27)</f>
        <v>0</v>
      </c>
      <c r="S27" s="127">
        <f aca="true" t="shared" si="11" ref="S27:S38">IF(punbasjubvarios1&lt;1943,R27,K27)</f>
        <v>0</v>
      </c>
      <c r="T27" s="127">
        <f aca="true" t="shared" si="12" ref="T27:T38">IF(punbasjubvarios1&lt;=2220,S27,L27)</f>
        <v>0</v>
      </c>
    </row>
    <row r="28" spans="1:20" s="208" customFormat="1" ht="15.75" hidden="1">
      <c r="A28" s="208">
        <v>1</v>
      </c>
      <c r="E28" s="116">
        <v>0.1</v>
      </c>
      <c r="F28" s="340" t="e">
        <f t="shared" si="7"/>
        <v>#NAME?</v>
      </c>
      <c r="G28" s="10">
        <v>709</v>
      </c>
      <c r="H28" s="10">
        <v>137</v>
      </c>
      <c r="I28" s="10">
        <v>0</v>
      </c>
      <c r="J28" s="10">
        <v>0</v>
      </c>
      <c r="K28" s="10">
        <v>0</v>
      </c>
      <c r="L28" s="10">
        <v>0</v>
      </c>
      <c r="M28" s="10">
        <v>137</v>
      </c>
      <c r="N28" s="10">
        <v>137</v>
      </c>
      <c r="O28" s="127">
        <f aca="true" t="shared" si="13" ref="O28:O38">IF(punbasjubvarios1&gt;971,N28,M28)</f>
        <v>137</v>
      </c>
      <c r="P28" s="127">
        <f t="shared" si="8"/>
        <v>137</v>
      </c>
      <c r="Q28" s="127">
        <f t="shared" si="9"/>
        <v>0</v>
      </c>
      <c r="R28" s="127">
        <f t="shared" si="10"/>
        <v>0</v>
      </c>
      <c r="S28" s="127">
        <f t="shared" si="11"/>
        <v>0</v>
      </c>
      <c r="T28" s="127">
        <f t="shared" si="12"/>
        <v>0</v>
      </c>
    </row>
    <row r="29" spans="1:20" s="208" customFormat="1" ht="15.75" hidden="1">
      <c r="A29" s="208">
        <v>1</v>
      </c>
      <c r="E29" s="117">
        <v>0.15</v>
      </c>
      <c r="F29" s="340" t="e">
        <f t="shared" si="7"/>
        <v>#NAME?</v>
      </c>
      <c r="G29" s="10">
        <v>860</v>
      </c>
      <c r="H29" s="10">
        <v>273</v>
      </c>
      <c r="I29" s="10">
        <v>364</v>
      </c>
      <c r="J29" s="10">
        <v>293</v>
      </c>
      <c r="K29" s="10">
        <v>273</v>
      </c>
      <c r="L29" s="10">
        <v>0</v>
      </c>
      <c r="M29" s="10">
        <v>333</v>
      </c>
      <c r="N29" s="10">
        <v>333</v>
      </c>
      <c r="O29" s="127">
        <f t="shared" si="13"/>
        <v>333</v>
      </c>
      <c r="P29" s="127">
        <f t="shared" si="8"/>
        <v>273</v>
      </c>
      <c r="Q29" s="127">
        <f t="shared" si="9"/>
        <v>364</v>
      </c>
      <c r="R29" s="127">
        <f t="shared" si="10"/>
        <v>364</v>
      </c>
      <c r="S29" s="127">
        <f t="shared" si="11"/>
        <v>364</v>
      </c>
      <c r="T29" s="127">
        <f t="shared" si="12"/>
        <v>364</v>
      </c>
    </row>
    <row r="30" spans="1:20" s="208" customFormat="1" ht="15.75" hidden="1">
      <c r="A30" s="208">
        <v>1</v>
      </c>
      <c r="E30" s="117">
        <v>0.3</v>
      </c>
      <c r="F30" s="340" t="e">
        <f t="shared" si="7"/>
        <v>#NAME?</v>
      </c>
      <c r="G30" s="10">
        <v>894</v>
      </c>
      <c r="H30" s="10">
        <v>295</v>
      </c>
      <c r="I30" s="10">
        <v>364</v>
      </c>
      <c r="J30" s="10">
        <v>293</v>
      </c>
      <c r="K30" s="10">
        <v>273</v>
      </c>
      <c r="L30" s="10">
        <v>0</v>
      </c>
      <c r="M30" s="10">
        <v>576</v>
      </c>
      <c r="N30" s="10">
        <v>531</v>
      </c>
      <c r="O30" s="127">
        <f t="shared" si="13"/>
        <v>531</v>
      </c>
      <c r="P30" s="127">
        <f t="shared" si="8"/>
        <v>295</v>
      </c>
      <c r="Q30" s="127">
        <f t="shared" si="9"/>
        <v>364</v>
      </c>
      <c r="R30" s="127">
        <f t="shared" si="10"/>
        <v>364</v>
      </c>
      <c r="S30" s="127">
        <f t="shared" si="11"/>
        <v>364</v>
      </c>
      <c r="T30" s="127">
        <f t="shared" si="12"/>
        <v>364</v>
      </c>
    </row>
    <row r="31" spans="1:20" s="208" customFormat="1" ht="15.75" hidden="1">
      <c r="A31" s="208">
        <v>1</v>
      </c>
      <c r="E31" s="117">
        <v>0.4</v>
      </c>
      <c r="F31" s="340" t="e">
        <f t="shared" si="7"/>
        <v>#NAME?</v>
      </c>
      <c r="G31" s="10">
        <v>806</v>
      </c>
      <c r="H31" s="10">
        <v>318</v>
      </c>
      <c r="I31" s="10">
        <v>379</v>
      </c>
      <c r="J31" s="10">
        <v>303</v>
      </c>
      <c r="K31" s="10">
        <v>273</v>
      </c>
      <c r="L31" s="10">
        <v>212</v>
      </c>
      <c r="M31" s="10">
        <v>666</v>
      </c>
      <c r="N31" s="10">
        <v>606</v>
      </c>
      <c r="O31" s="127">
        <f t="shared" si="13"/>
        <v>606</v>
      </c>
      <c r="P31" s="127">
        <f t="shared" si="8"/>
        <v>318</v>
      </c>
      <c r="Q31" s="127">
        <f t="shared" si="9"/>
        <v>379</v>
      </c>
      <c r="R31" s="127">
        <f t="shared" si="10"/>
        <v>379</v>
      </c>
      <c r="S31" s="127">
        <f t="shared" si="11"/>
        <v>379</v>
      </c>
      <c r="T31" s="127">
        <f t="shared" si="12"/>
        <v>379</v>
      </c>
    </row>
    <row r="32" spans="1:20" s="208" customFormat="1" ht="15.75" hidden="1">
      <c r="A32" s="208">
        <v>1</v>
      </c>
      <c r="E32" s="117">
        <v>0.5</v>
      </c>
      <c r="F32" s="340" t="e">
        <f t="shared" si="7"/>
        <v>#NAME?</v>
      </c>
      <c r="G32" s="10">
        <v>702</v>
      </c>
      <c r="H32" s="10">
        <v>349</v>
      </c>
      <c r="I32" s="10">
        <v>379</v>
      </c>
      <c r="J32" s="10">
        <v>303</v>
      </c>
      <c r="K32" s="10">
        <v>273</v>
      </c>
      <c r="L32" s="10">
        <v>212</v>
      </c>
      <c r="M32" s="10">
        <v>720</v>
      </c>
      <c r="N32" s="10">
        <v>659</v>
      </c>
      <c r="O32" s="127">
        <f t="shared" si="13"/>
        <v>659</v>
      </c>
      <c r="P32" s="127">
        <f t="shared" si="8"/>
        <v>349</v>
      </c>
      <c r="Q32" s="127">
        <f t="shared" si="9"/>
        <v>379</v>
      </c>
      <c r="R32" s="127">
        <f t="shared" si="10"/>
        <v>379</v>
      </c>
      <c r="S32" s="127">
        <f t="shared" si="11"/>
        <v>379</v>
      </c>
      <c r="T32" s="127">
        <f t="shared" si="12"/>
        <v>379</v>
      </c>
    </row>
    <row r="33" spans="1:20" s="208" customFormat="1" ht="15.75" hidden="1">
      <c r="A33" s="208">
        <v>1</v>
      </c>
      <c r="E33" s="117">
        <v>0.6</v>
      </c>
      <c r="F33" s="340" t="e">
        <f t="shared" si="7"/>
        <v>#NAME?</v>
      </c>
      <c r="G33" s="10">
        <v>705</v>
      </c>
      <c r="H33" s="10">
        <v>394</v>
      </c>
      <c r="I33" s="10">
        <v>394</v>
      </c>
      <c r="J33" s="10">
        <v>307</v>
      </c>
      <c r="K33" s="10">
        <v>288</v>
      </c>
      <c r="L33" s="10">
        <v>243</v>
      </c>
      <c r="M33" s="10">
        <v>772</v>
      </c>
      <c r="N33" s="10">
        <v>682</v>
      </c>
      <c r="O33" s="127">
        <f t="shared" si="13"/>
        <v>682</v>
      </c>
      <c r="P33" s="127">
        <f t="shared" si="8"/>
        <v>394</v>
      </c>
      <c r="Q33" s="127">
        <f t="shared" si="9"/>
        <v>394</v>
      </c>
      <c r="R33" s="127">
        <f t="shared" si="10"/>
        <v>394</v>
      </c>
      <c r="S33" s="127">
        <f t="shared" si="11"/>
        <v>394</v>
      </c>
      <c r="T33" s="127">
        <f t="shared" si="12"/>
        <v>394</v>
      </c>
    </row>
    <row r="34" spans="1:20" s="208" customFormat="1" ht="15.75" hidden="1">
      <c r="A34" s="208">
        <v>1</v>
      </c>
      <c r="E34" s="117">
        <v>0.7</v>
      </c>
      <c r="F34" s="340" t="e">
        <f t="shared" si="7"/>
        <v>#NAME?</v>
      </c>
      <c r="G34" s="10">
        <v>675</v>
      </c>
      <c r="H34" s="10">
        <v>432</v>
      </c>
      <c r="I34" s="10">
        <v>553</v>
      </c>
      <c r="J34" s="10">
        <v>349</v>
      </c>
      <c r="K34" s="10">
        <v>288</v>
      </c>
      <c r="L34" s="10">
        <v>243</v>
      </c>
      <c r="M34" s="10">
        <v>795</v>
      </c>
      <c r="N34" s="10">
        <v>705</v>
      </c>
      <c r="O34" s="127">
        <f t="shared" si="13"/>
        <v>705</v>
      </c>
      <c r="P34" s="127">
        <f t="shared" si="8"/>
        <v>432</v>
      </c>
      <c r="Q34" s="127">
        <f t="shared" si="9"/>
        <v>553</v>
      </c>
      <c r="R34" s="127">
        <f t="shared" si="10"/>
        <v>553</v>
      </c>
      <c r="S34" s="127">
        <f t="shared" si="11"/>
        <v>553</v>
      </c>
      <c r="T34" s="127">
        <f t="shared" si="12"/>
        <v>553</v>
      </c>
    </row>
    <row r="35" spans="1:20" s="208" customFormat="1" ht="15.75" hidden="1">
      <c r="A35" s="208">
        <v>1</v>
      </c>
      <c r="E35" s="117">
        <v>0.8</v>
      </c>
      <c r="F35" s="340" t="e">
        <f t="shared" si="7"/>
        <v>#NAME?</v>
      </c>
      <c r="G35" s="10">
        <v>810</v>
      </c>
      <c r="H35" s="10">
        <v>522</v>
      </c>
      <c r="I35" s="10">
        <v>599</v>
      </c>
      <c r="J35" s="10">
        <v>515</v>
      </c>
      <c r="K35" s="10">
        <v>425</v>
      </c>
      <c r="L35" s="10">
        <v>273</v>
      </c>
      <c r="M35" s="10">
        <v>841</v>
      </c>
      <c r="N35" s="10">
        <v>720</v>
      </c>
      <c r="O35" s="127">
        <f t="shared" si="13"/>
        <v>720</v>
      </c>
      <c r="P35" s="127">
        <f t="shared" si="8"/>
        <v>522</v>
      </c>
      <c r="Q35" s="127">
        <f t="shared" si="9"/>
        <v>599</v>
      </c>
      <c r="R35" s="127">
        <f t="shared" si="10"/>
        <v>599</v>
      </c>
      <c r="S35" s="127">
        <f t="shared" si="11"/>
        <v>599</v>
      </c>
      <c r="T35" s="127">
        <f t="shared" si="12"/>
        <v>599</v>
      </c>
    </row>
    <row r="36" spans="1:20" s="208" customFormat="1" ht="15.75" hidden="1">
      <c r="A36" s="208">
        <v>1</v>
      </c>
      <c r="E36" s="117">
        <v>1</v>
      </c>
      <c r="F36" s="340" t="e">
        <f t="shared" si="7"/>
        <v>#NAME?</v>
      </c>
      <c r="G36" s="10">
        <v>1008</v>
      </c>
      <c r="H36" s="10">
        <v>659</v>
      </c>
      <c r="I36" s="10">
        <v>621</v>
      </c>
      <c r="J36" s="10">
        <v>500</v>
      </c>
      <c r="K36" s="10">
        <v>470</v>
      </c>
      <c r="L36" s="10">
        <v>273</v>
      </c>
      <c r="M36" s="10">
        <v>894</v>
      </c>
      <c r="N36" s="10">
        <v>743</v>
      </c>
      <c r="O36" s="127">
        <f t="shared" si="13"/>
        <v>743</v>
      </c>
      <c r="P36" s="127">
        <f t="shared" si="8"/>
        <v>659</v>
      </c>
      <c r="Q36" s="127">
        <f t="shared" si="9"/>
        <v>621</v>
      </c>
      <c r="R36" s="127">
        <f t="shared" si="10"/>
        <v>621</v>
      </c>
      <c r="S36" s="127">
        <f t="shared" si="11"/>
        <v>621</v>
      </c>
      <c r="T36" s="127">
        <f t="shared" si="12"/>
        <v>621</v>
      </c>
    </row>
    <row r="37" spans="1:20" s="208" customFormat="1" ht="15.75" hidden="1">
      <c r="A37" s="208">
        <v>1</v>
      </c>
      <c r="E37" s="117">
        <v>1.1</v>
      </c>
      <c r="F37" s="340" t="e">
        <f t="shared" si="7"/>
        <v>#NAME?</v>
      </c>
      <c r="G37" s="368">
        <v>1129</v>
      </c>
      <c r="H37" s="369">
        <v>750</v>
      </c>
      <c r="I37" s="10">
        <v>651</v>
      </c>
      <c r="J37" s="10">
        <v>500</v>
      </c>
      <c r="K37" s="10">
        <v>484</v>
      </c>
      <c r="L37" s="10">
        <v>288</v>
      </c>
      <c r="M37" s="10">
        <v>932</v>
      </c>
      <c r="N37" s="10">
        <v>765</v>
      </c>
      <c r="O37" s="127">
        <f t="shared" si="13"/>
        <v>765</v>
      </c>
      <c r="P37" s="127">
        <f t="shared" si="8"/>
        <v>750</v>
      </c>
      <c r="Q37" s="127">
        <f t="shared" si="9"/>
        <v>651</v>
      </c>
      <c r="R37" s="127">
        <f t="shared" si="10"/>
        <v>651</v>
      </c>
      <c r="S37" s="127">
        <f t="shared" si="11"/>
        <v>651</v>
      </c>
      <c r="T37" s="127">
        <f t="shared" si="12"/>
        <v>651</v>
      </c>
    </row>
    <row r="38" spans="1:20" s="208" customFormat="1" ht="16.5" hidden="1" thickBot="1">
      <c r="A38" s="208">
        <v>1</v>
      </c>
      <c r="E38" s="118">
        <v>1.2</v>
      </c>
      <c r="F38" s="340" t="e">
        <f t="shared" si="7"/>
        <v>#NAME?</v>
      </c>
      <c r="G38" s="10">
        <v>1166</v>
      </c>
      <c r="H38" s="10">
        <v>772</v>
      </c>
      <c r="I38" s="10">
        <v>727</v>
      </c>
      <c r="J38" s="10">
        <v>508</v>
      </c>
      <c r="K38" s="10">
        <v>500</v>
      </c>
      <c r="L38" s="10">
        <v>288</v>
      </c>
      <c r="M38" s="10">
        <v>939</v>
      </c>
      <c r="N38" s="10">
        <v>772</v>
      </c>
      <c r="O38" s="127">
        <f t="shared" si="13"/>
        <v>772</v>
      </c>
      <c r="P38" s="127">
        <f t="shared" si="8"/>
        <v>772</v>
      </c>
      <c r="Q38" s="127">
        <f t="shared" si="9"/>
        <v>727</v>
      </c>
      <c r="R38" s="127">
        <f t="shared" si="10"/>
        <v>727</v>
      </c>
      <c r="S38" s="127">
        <f t="shared" si="11"/>
        <v>727</v>
      </c>
      <c r="T38" s="127">
        <f t="shared" si="12"/>
        <v>727</v>
      </c>
    </row>
    <row r="39" spans="1:20" s="208" customFormat="1" ht="15.75" hidden="1">
      <c r="A39" s="208">
        <v>1</v>
      </c>
      <c r="E39" s="209"/>
      <c r="F39" s="135" t="s">
        <v>387</v>
      </c>
      <c r="G39" s="135" t="e">
        <f>LOOKUP(F56,porantvar1,cod06cargosvar1mar11)</f>
        <v>#NAME?</v>
      </c>
      <c r="H39" s="210"/>
      <c r="I39" s="211"/>
      <c r="J39" s="211"/>
      <c r="K39" s="135"/>
      <c r="L39" s="11"/>
      <c r="M39" s="125"/>
      <c r="N39" s="125"/>
      <c r="O39" s="125"/>
      <c r="P39" s="125"/>
      <c r="Q39" s="125"/>
      <c r="R39" s="125"/>
      <c r="S39" s="125"/>
      <c r="T39" s="125"/>
    </row>
    <row r="40" spans="5:20" s="208" customFormat="1" ht="15.75" hidden="1">
      <c r="E40" s="209"/>
      <c r="F40" s="135"/>
      <c r="G40" s="135"/>
      <c r="H40" s="210"/>
      <c r="I40" s="211"/>
      <c r="J40" s="211"/>
      <c r="K40" s="135"/>
      <c r="L40" s="11"/>
      <c r="M40" s="125"/>
      <c r="N40" s="125"/>
      <c r="O40" s="125"/>
      <c r="P40" s="125"/>
      <c r="Q40" s="125"/>
      <c r="R40" s="125"/>
      <c r="S40" s="125"/>
      <c r="T40" s="125"/>
    </row>
    <row r="41" spans="5:20" s="208" customFormat="1" ht="15.75" hidden="1">
      <c r="E41" s="209"/>
      <c r="F41" s="135"/>
      <c r="G41" s="135"/>
      <c r="H41" s="210"/>
      <c r="I41" s="211"/>
      <c r="J41" s="211"/>
      <c r="K41" s="135"/>
      <c r="L41" s="11"/>
      <c r="M41" s="125"/>
      <c r="N41" s="125"/>
      <c r="O41" s="125"/>
      <c r="P41" s="125"/>
      <c r="Q41" s="125"/>
      <c r="R41" s="125"/>
      <c r="S41" s="125"/>
      <c r="T41" s="125"/>
    </row>
    <row r="42" spans="5:20" s="208" customFormat="1" ht="15.75" hidden="1">
      <c r="E42" s="209"/>
      <c r="F42" s="135"/>
      <c r="G42" s="135"/>
      <c r="H42" s="210"/>
      <c r="I42" s="211"/>
      <c r="J42" s="211"/>
      <c r="K42" s="135"/>
      <c r="L42" s="11"/>
      <c r="M42" s="125"/>
      <c r="N42" s="125"/>
      <c r="O42" s="125"/>
      <c r="P42" s="125"/>
      <c r="Q42" s="125"/>
      <c r="R42" s="125"/>
      <c r="S42" s="125"/>
      <c r="T42" s="125"/>
    </row>
    <row r="43" spans="4:20" s="132" customFormat="1" ht="15.75">
      <c r="D43" s="351" t="s">
        <v>375</v>
      </c>
      <c r="E43" s="352"/>
      <c r="F43" s="353"/>
      <c r="G43" s="353"/>
      <c r="H43" s="354"/>
      <c r="I43" s="355"/>
      <c r="J43" s="355"/>
      <c r="K43" s="353"/>
      <c r="L43" s="356"/>
      <c r="M43" s="357"/>
      <c r="N43" s="357"/>
      <c r="O43" s="357"/>
      <c r="P43" s="357"/>
      <c r="Q43" s="357"/>
      <c r="R43" s="357"/>
      <c r="S43" s="357"/>
      <c r="T43" s="357"/>
    </row>
    <row r="44" spans="1:15" ht="12.75">
      <c r="A44" s="133">
        <v>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pans="1:17" ht="20.25">
      <c r="A45" s="133">
        <v>1</v>
      </c>
      <c r="B45" s="42"/>
      <c r="C45" s="99"/>
      <c r="D45" s="99"/>
      <c r="E45" s="73" t="s">
        <v>346</v>
      </c>
      <c r="F45" s="10"/>
      <c r="G45" s="10"/>
      <c r="H45" s="99"/>
      <c r="I45" s="99"/>
      <c r="J45" s="99"/>
      <c r="K45" s="99"/>
      <c r="L45" s="99"/>
      <c r="M45" s="99"/>
      <c r="N45" s="134"/>
      <c r="O45" s="234"/>
      <c r="P45" s="135"/>
      <c r="Q45" s="135"/>
    </row>
    <row r="46" spans="1:17" ht="12.75">
      <c r="A46" s="133">
        <v>1</v>
      </c>
      <c r="B46" s="42"/>
      <c r="C46" s="42"/>
      <c r="D46" s="42"/>
      <c r="E46" s="42"/>
      <c r="F46" s="42"/>
      <c r="G46" s="42"/>
      <c r="H46" s="224"/>
      <c r="I46" s="42"/>
      <c r="J46" s="42"/>
      <c r="K46" s="42"/>
      <c r="L46" s="42"/>
      <c r="M46" s="42"/>
      <c r="N46" s="134"/>
      <c r="O46" s="234"/>
      <c r="P46" s="135"/>
      <c r="Q46" s="135"/>
    </row>
    <row r="47" spans="1:17" ht="12.75">
      <c r="A47" s="133">
        <v>1</v>
      </c>
      <c r="B47" s="133"/>
      <c r="C47" s="133"/>
      <c r="D47" s="37" t="s">
        <v>36</v>
      </c>
      <c r="E47" s="37" t="s">
        <v>316</v>
      </c>
      <c r="F47" s="37" t="s">
        <v>317</v>
      </c>
      <c r="G47" s="37" t="s">
        <v>318</v>
      </c>
      <c r="H47" s="37" t="s">
        <v>319</v>
      </c>
      <c r="I47" s="93" t="s">
        <v>365</v>
      </c>
      <c r="J47" s="402" t="s">
        <v>394</v>
      </c>
      <c r="K47" s="42"/>
      <c r="L47" s="42"/>
      <c r="M47" s="42"/>
      <c r="N47" s="134"/>
      <c r="O47" s="234"/>
      <c r="P47" s="135"/>
      <c r="Q47" s="135"/>
    </row>
    <row r="48" spans="1:17" ht="16.5" thickBot="1">
      <c r="A48" s="133">
        <v>1</v>
      </c>
      <c r="B48" s="133"/>
      <c r="C48" s="133"/>
      <c r="D48" s="109">
        <v>741</v>
      </c>
      <c r="E48" s="74">
        <f>LOOKUP(D48,[0]!numerocargo,[0]!puntosbasicoscargo)</f>
        <v>1300</v>
      </c>
      <c r="F48" s="74" t="e">
        <f>LOOKUP(D48,[0]!numerocargo,[0]!tardifcargo)</f>
        <v>#NAME?</v>
      </c>
      <c r="G48" s="74">
        <f>LOOKUP(D48,[0]!numerocargo,[0]!proljorcargo)</f>
        <v>1660</v>
      </c>
      <c r="H48" s="74" t="e">
        <f>LOOKUP(D48,[0]!numerocargo,[0]!jorcomcargo)</f>
        <v>#NAME?</v>
      </c>
      <c r="I48" s="37">
        <f>LOOKUP(D48,Cargos!A1:A337,puntoscompbasico)</f>
        <v>216</v>
      </c>
      <c r="J48" s="401" t="e">
        <f>LOOKUP(D48,Cargos!A1:A337,puntosadicdir)</f>
        <v>#REF!</v>
      </c>
      <c r="K48" s="42"/>
      <c r="L48" s="42"/>
      <c r="M48" s="42"/>
      <c r="N48" s="134"/>
      <c r="O48" s="234"/>
      <c r="P48" s="135"/>
      <c r="Q48" s="135"/>
    </row>
    <row r="49" spans="1:17" ht="13.5" thickBot="1">
      <c r="A49" s="133">
        <v>1</v>
      </c>
      <c r="B49" s="133"/>
      <c r="C49" s="133"/>
      <c r="D49" s="75" t="s">
        <v>37</v>
      </c>
      <c r="E49" s="76" t="str">
        <f>LOOKUP(D48,[0]!numerocargo,[0]!nombrecargo)</f>
        <v> SECRETARIO ESCUELA 2DA CATEGORIA</v>
      </c>
      <c r="F49" s="36"/>
      <c r="G49" s="36"/>
      <c r="H49" s="55"/>
      <c r="I49" s="42"/>
      <c r="J49" s="42"/>
      <c r="K49" s="42"/>
      <c r="L49" s="42"/>
      <c r="M49" s="42"/>
      <c r="N49" s="134"/>
      <c r="O49" s="234"/>
      <c r="P49" s="135"/>
      <c r="Q49" s="135"/>
    </row>
    <row r="50" spans="1:17" ht="13.5" thickBot="1">
      <c r="A50" s="133">
        <v>1</v>
      </c>
      <c r="B50" s="133"/>
      <c r="C50" s="133"/>
      <c r="D50" s="223"/>
      <c r="E50" s="224"/>
      <c r="F50" s="42"/>
      <c r="G50" s="42"/>
      <c r="H50" s="42"/>
      <c r="I50" s="120" t="s">
        <v>339</v>
      </c>
      <c r="J50" s="319"/>
      <c r="K50" s="319"/>
      <c r="L50" s="319"/>
      <c r="M50" s="42"/>
      <c r="N50" s="42"/>
      <c r="O50" s="42"/>
      <c r="P50" s="10"/>
      <c r="Q50" s="10"/>
    </row>
    <row r="51" spans="1:17" ht="19.5" thickBot="1" thickTop="1">
      <c r="A51" s="133">
        <v>1</v>
      </c>
      <c r="B51" s="133"/>
      <c r="C51" s="133"/>
      <c r="D51" s="136" t="s">
        <v>333</v>
      </c>
      <c r="E51" s="114"/>
      <c r="F51" s="114"/>
      <c r="G51" s="114"/>
      <c r="H51" s="137">
        <v>53</v>
      </c>
      <c r="I51" s="121">
        <f>H51/120</f>
        <v>0.44166666666666665</v>
      </c>
      <c r="J51" s="224"/>
      <c r="K51" s="224"/>
      <c r="L51" s="224"/>
      <c r="M51" s="42"/>
      <c r="N51" s="42"/>
      <c r="O51" s="42"/>
      <c r="P51" s="10"/>
      <c r="Q51" s="10"/>
    </row>
    <row r="52" spans="1:17" ht="17.25" thickBot="1" thickTop="1">
      <c r="A52" s="133">
        <v>1</v>
      </c>
      <c r="B52" s="223"/>
      <c r="C52" s="224"/>
      <c r="D52" s="42"/>
      <c r="E52" s="42"/>
      <c r="F52" s="313"/>
      <c r="G52" s="42"/>
      <c r="H52" s="224"/>
      <c r="I52" s="42"/>
      <c r="J52" s="42"/>
      <c r="K52" s="42"/>
      <c r="L52" s="42"/>
      <c r="M52" s="42"/>
      <c r="N52" s="42"/>
      <c r="O52" s="42"/>
      <c r="P52" s="10"/>
      <c r="Q52" s="10"/>
    </row>
    <row r="53" spans="1:17" ht="17.25" thickBot="1" thickTop="1">
      <c r="A53" s="133">
        <v>1</v>
      </c>
      <c r="B53" s="223"/>
      <c r="C53" s="133"/>
      <c r="D53" s="112" t="s">
        <v>341</v>
      </c>
      <c r="E53" s="123">
        <v>0</v>
      </c>
      <c r="F53" s="313"/>
      <c r="G53" s="42"/>
      <c r="H53" s="224"/>
      <c r="I53" s="42"/>
      <c r="J53" s="42"/>
      <c r="K53" s="42"/>
      <c r="L53" s="42"/>
      <c r="M53" s="42"/>
      <c r="N53" s="42"/>
      <c r="O53" s="42"/>
      <c r="P53" s="10"/>
      <c r="Q53" s="10"/>
    </row>
    <row r="54" spans="1:17" ht="14.25" thickBot="1" thickTop="1">
      <c r="A54" s="133">
        <v>1</v>
      </c>
      <c r="B54" s="223"/>
      <c r="C54" s="224"/>
      <c r="D54" s="42"/>
      <c r="E54" s="42"/>
      <c r="F54" s="42"/>
      <c r="G54" s="42"/>
      <c r="H54" s="224"/>
      <c r="I54" s="42"/>
      <c r="J54" s="42"/>
      <c r="K54" s="42"/>
      <c r="L54" s="42"/>
      <c r="M54" s="42"/>
      <c r="N54" s="42"/>
      <c r="O54" s="42"/>
      <c r="P54" s="10"/>
      <c r="Q54" s="10"/>
    </row>
    <row r="55" spans="1:17" ht="16.5" thickBot="1">
      <c r="A55" s="133">
        <v>1</v>
      </c>
      <c r="B55" s="42"/>
      <c r="C55" s="99"/>
      <c r="D55" s="77" t="s">
        <v>13</v>
      </c>
      <c r="E55" s="36"/>
      <c r="F55" s="78" t="e">
        <f>E48*indicesep2010</f>
        <v>#NAME?</v>
      </c>
      <c r="G55" s="99"/>
      <c r="H55" s="99"/>
      <c r="I55" s="99"/>
      <c r="J55" s="99"/>
      <c r="K55" s="99"/>
      <c r="L55" s="99"/>
      <c r="M55" s="138"/>
      <c r="N55" s="138"/>
      <c r="O55" s="99"/>
      <c r="P55" s="10"/>
      <c r="Q55" s="10"/>
    </row>
    <row r="56" spans="1:17" ht="16.5" thickBot="1">
      <c r="A56" s="133">
        <v>1</v>
      </c>
      <c r="B56" s="42"/>
      <c r="C56" s="99"/>
      <c r="D56" s="77" t="s">
        <v>14</v>
      </c>
      <c r="E56" s="36"/>
      <c r="F56" s="111">
        <v>1.2</v>
      </c>
      <c r="G56" s="10" t="s">
        <v>15</v>
      </c>
      <c r="H56" s="10"/>
      <c r="I56" s="99"/>
      <c r="J56" s="99"/>
      <c r="K56" s="99"/>
      <c r="L56" s="99"/>
      <c r="M56" s="99"/>
      <c r="N56" s="138"/>
      <c r="O56" s="99"/>
      <c r="P56" s="10"/>
      <c r="Q56" s="10"/>
    </row>
    <row r="57" spans="1:17" ht="15.75">
      <c r="A57" s="133">
        <v>1</v>
      </c>
      <c r="B57" s="42"/>
      <c r="C57" s="99"/>
      <c r="D57" s="42"/>
      <c r="E57" s="42"/>
      <c r="F57" s="408"/>
      <c r="G57" s="99"/>
      <c r="H57" s="99"/>
      <c r="I57" s="99"/>
      <c r="J57" s="99"/>
      <c r="K57" s="99"/>
      <c r="L57" s="99"/>
      <c r="M57" s="99"/>
      <c r="N57" s="139"/>
      <c r="O57" s="99"/>
      <c r="P57" s="10"/>
      <c r="Q57" s="10"/>
    </row>
    <row r="58" spans="1:17" ht="18.75" hidden="1" thickBot="1">
      <c r="A58" s="133">
        <v>1</v>
      </c>
      <c r="B58" s="42"/>
      <c r="C58" s="99"/>
      <c r="D58" s="80" t="s">
        <v>16</v>
      </c>
      <c r="E58" s="80"/>
      <c r="F58" s="81">
        <f>E48</f>
        <v>1300</v>
      </c>
      <c r="G58" s="10" t="s">
        <v>17</v>
      </c>
      <c r="H58" s="99"/>
      <c r="I58" s="281" t="e">
        <f>H48+G48</f>
        <v>#NAME?</v>
      </c>
      <c r="J58" s="138"/>
      <c r="K58" s="138"/>
      <c r="L58" s="138"/>
      <c r="M58" s="42"/>
      <c r="N58" s="99"/>
      <c r="O58" s="99"/>
      <c r="P58" s="10"/>
      <c r="Q58" s="10"/>
    </row>
    <row r="59" spans="1:17" ht="18" hidden="1">
      <c r="A59" s="133"/>
      <c r="B59" s="42"/>
      <c r="C59" s="99"/>
      <c r="D59" s="183"/>
      <c r="E59" s="183"/>
      <c r="F59" s="184"/>
      <c r="G59" s="99"/>
      <c r="H59" s="99"/>
      <c r="I59" s="138"/>
      <c r="J59" s="138"/>
      <c r="K59" s="138"/>
      <c r="L59" s="138"/>
      <c r="M59" s="42"/>
      <c r="N59" s="99"/>
      <c r="O59" s="99"/>
      <c r="P59" s="10"/>
      <c r="Q59" s="10"/>
    </row>
    <row r="60" spans="1:15" ht="15.75" hidden="1">
      <c r="A60" s="133"/>
      <c r="B60" s="42"/>
      <c r="C60" s="99"/>
      <c r="D60" s="10"/>
      <c r="E60" s="128" t="s">
        <v>384</v>
      </c>
      <c r="F60" s="10"/>
      <c r="G60" s="133"/>
      <c r="H60" s="10"/>
      <c r="I60" s="128" t="s">
        <v>385</v>
      </c>
      <c r="J60" s="10"/>
      <c r="K60" s="133"/>
      <c r="L60" s="2"/>
      <c r="M60" s="216"/>
      <c r="N60" s="2"/>
      <c r="O60" s="377"/>
    </row>
    <row r="61" spans="1:15" ht="12.75" hidden="1">
      <c r="A61" s="133">
        <v>1</v>
      </c>
      <c r="B61" s="42"/>
      <c r="C61" s="133"/>
      <c r="D61" s="17">
        <v>400</v>
      </c>
      <c r="E61" s="17" t="s">
        <v>18</v>
      </c>
      <c r="F61" s="82" t="e">
        <f>punbasjubvarios1*indicesep2010*porjubvarcar*frac1</f>
        <v>#NAME?</v>
      </c>
      <c r="G61" s="133"/>
      <c r="H61" s="17">
        <v>400</v>
      </c>
      <c r="I61" s="17" t="s">
        <v>18</v>
      </c>
      <c r="J61" s="82" t="e">
        <f>punbasjubvarios1*indicemar2011*porjubvarcar*frac1</f>
        <v>#NAME?</v>
      </c>
      <c r="K61" s="133"/>
      <c r="L61" s="2"/>
      <c r="M61" s="2"/>
      <c r="N61" s="3"/>
      <c r="O61" s="377"/>
    </row>
    <row r="62" spans="1:15" ht="12.75" hidden="1">
      <c r="A62" s="133"/>
      <c r="B62" s="42"/>
      <c r="C62" s="133"/>
      <c r="D62" s="17">
        <v>542</v>
      </c>
      <c r="E62" s="17" t="s">
        <v>370</v>
      </c>
      <c r="F62" s="195" t="e">
        <f>compbasicovarios1*indicesep2010*porjubvarcar*frac1</f>
        <v>#NAME?</v>
      </c>
      <c r="G62" s="133"/>
      <c r="H62" s="17">
        <v>542</v>
      </c>
      <c r="I62" s="17" t="s">
        <v>370</v>
      </c>
      <c r="J62" s="195" t="e">
        <f>compbasicovarios1*indicemar2011*porjubvarcar*frac1</f>
        <v>#NAME?</v>
      </c>
      <c r="K62" s="133"/>
      <c r="L62" s="2"/>
      <c r="M62" s="2"/>
      <c r="N62" s="3"/>
      <c r="O62" s="377"/>
    </row>
    <row r="63" spans="1:15" ht="12.75" hidden="1">
      <c r="A63" s="133"/>
      <c r="B63" s="42"/>
      <c r="C63" s="133"/>
      <c r="D63" s="370"/>
      <c r="E63" s="370"/>
      <c r="F63" s="403"/>
      <c r="G63" s="133"/>
      <c r="H63" s="375" t="s">
        <v>383</v>
      </c>
      <c r="I63" s="376" t="s">
        <v>382</v>
      </c>
      <c r="J63" s="400" t="e">
        <f>adicdirvarios1*indicemar2011*porjubvarcar*frac1</f>
        <v>#REF!</v>
      </c>
      <c r="K63" s="133"/>
      <c r="L63" s="2"/>
      <c r="M63" s="2"/>
      <c r="N63" s="3"/>
      <c r="O63" s="377"/>
    </row>
    <row r="64" spans="1:15" ht="12.75" hidden="1">
      <c r="A64" s="133">
        <v>1</v>
      </c>
      <c r="B64" s="42"/>
      <c r="C64" s="133"/>
      <c r="D64" s="17">
        <v>404</v>
      </c>
      <c r="E64" s="17" t="s">
        <v>321</v>
      </c>
      <c r="F64" s="82" t="e">
        <f>puntardifvar1*indicesep2010*porjubvarcar*frac1</f>
        <v>#NAME?</v>
      </c>
      <c r="G64" s="133"/>
      <c r="H64" s="17">
        <v>404</v>
      </c>
      <c r="I64" s="17" t="s">
        <v>321</v>
      </c>
      <c r="J64" s="82" t="e">
        <f>puntardifvar1*indicemar2011*porjubvarcar*frac1</f>
        <v>#NAME?</v>
      </c>
      <c r="L64" s="2"/>
      <c r="M64" s="2"/>
      <c r="N64" s="3"/>
      <c r="O64" s="215"/>
    </row>
    <row r="65" spans="1:15" ht="12.75" hidden="1">
      <c r="A65" s="133">
        <v>1</v>
      </c>
      <c r="B65" s="42"/>
      <c r="C65" s="133"/>
      <c r="D65" s="17">
        <v>406</v>
      </c>
      <c r="E65" s="17" t="s">
        <v>19</v>
      </c>
      <c r="F65" s="82" t="e">
        <f>(F61+F62+F64+F67)*F56</f>
        <v>#NAME?</v>
      </c>
      <c r="G65" s="133"/>
      <c r="H65" s="17">
        <v>406</v>
      </c>
      <c r="I65" s="17" t="s">
        <v>19</v>
      </c>
      <c r="J65" s="82" t="e">
        <f>(J61+J62+J64+J67)*F56</f>
        <v>#NAME?</v>
      </c>
      <c r="L65" s="2"/>
      <c r="M65" s="2"/>
      <c r="N65" s="3"/>
      <c r="O65" s="215"/>
    </row>
    <row r="66" spans="1:15" ht="12.75" hidden="1">
      <c r="A66" s="133">
        <v>1</v>
      </c>
      <c r="B66" s="42"/>
      <c r="C66" s="133"/>
      <c r="D66" s="17">
        <v>408</v>
      </c>
      <c r="E66" s="17" t="s">
        <v>340</v>
      </c>
      <c r="F66" s="82" t="e">
        <f>(F61+F62+F64+F67)*E53</f>
        <v>#NAME?</v>
      </c>
      <c r="G66" s="133"/>
      <c r="H66" s="17">
        <v>408</v>
      </c>
      <c r="I66" s="17" t="s">
        <v>340</v>
      </c>
      <c r="J66" s="82" t="e">
        <f>(J61+J62+J64+J67)*E53</f>
        <v>#NAME?</v>
      </c>
      <c r="L66" s="2"/>
      <c r="M66" s="2"/>
      <c r="N66" s="3"/>
      <c r="O66" s="215"/>
    </row>
    <row r="67" spans="1:15" ht="12.75" hidden="1">
      <c r="A67" s="133">
        <v>1</v>
      </c>
      <c r="B67" s="42"/>
      <c r="C67" s="133"/>
      <c r="D67" s="17">
        <v>416</v>
      </c>
      <c r="E67" s="83" t="s">
        <v>322</v>
      </c>
      <c r="F67" s="82" t="e">
        <f>puntosproljorvarios1*proljorsep2010*porjubvarcar*frac1</f>
        <v>#NAME?</v>
      </c>
      <c r="G67" s="133"/>
      <c r="H67" s="17">
        <v>416</v>
      </c>
      <c r="I67" s="83" t="s">
        <v>322</v>
      </c>
      <c r="J67" s="82" t="e">
        <f>puntosproljorvarios1*proljormar2011*porjubvarcar*frac1</f>
        <v>#NAME?</v>
      </c>
      <c r="L67" s="2"/>
      <c r="M67" s="378"/>
      <c r="N67" s="3"/>
      <c r="O67" s="215"/>
    </row>
    <row r="68" spans="1:15" ht="12.75" hidden="1">
      <c r="A68" s="133">
        <v>1</v>
      </c>
      <c r="B68" s="42"/>
      <c r="C68" s="133"/>
      <c r="D68" s="17">
        <v>432</v>
      </c>
      <c r="E68" s="17" t="s">
        <v>338</v>
      </c>
      <c r="F68" s="82" t="e">
        <f>cod06feb11varios1*porjubvarcar*frac1</f>
        <v>#NAME?</v>
      </c>
      <c r="G68" s="133"/>
      <c r="H68" s="17">
        <v>432</v>
      </c>
      <c r="I68" s="17" t="s">
        <v>338</v>
      </c>
      <c r="J68" s="82" t="e">
        <f>cod06mar11varios1*porjubvarcar*frac1</f>
        <v>#NAME?</v>
      </c>
      <c r="L68" s="2"/>
      <c r="M68" s="2"/>
      <c r="N68" s="3"/>
      <c r="O68" s="215"/>
    </row>
    <row r="69" spans="1:15" ht="12.75" hidden="1">
      <c r="A69" s="133">
        <v>1</v>
      </c>
      <c r="B69" s="42"/>
      <c r="C69" s="133"/>
      <c r="D69" s="17">
        <v>434</v>
      </c>
      <c r="E69" s="17" t="s">
        <v>320</v>
      </c>
      <c r="F69" s="82" t="e">
        <f>(F61+F62+F64+F65+F67+F68+F66)*0.07*0.95</f>
        <v>#NAME?</v>
      </c>
      <c r="G69" s="133"/>
      <c r="H69" s="17">
        <v>434</v>
      </c>
      <c r="I69" s="17" t="s">
        <v>320</v>
      </c>
      <c r="J69" s="82" t="e">
        <f>(J61+J62+J64+J65+J67+J68+J66)*0.07*0.95</f>
        <v>#NAME?</v>
      </c>
      <c r="L69" s="2"/>
      <c r="M69" s="2"/>
      <c r="N69" s="3"/>
      <c r="O69" s="215"/>
    </row>
    <row r="70" spans="1:15" ht="12.75" hidden="1">
      <c r="A70" s="133"/>
      <c r="B70" s="42"/>
      <c r="C70" s="133"/>
      <c r="D70" s="17"/>
      <c r="E70" s="84"/>
      <c r="F70" s="141"/>
      <c r="G70" s="133"/>
      <c r="H70" s="17"/>
      <c r="I70" s="84"/>
      <c r="J70" s="141"/>
      <c r="L70" s="2"/>
      <c r="M70" s="2"/>
      <c r="N70" s="3"/>
      <c r="O70" s="215"/>
    </row>
    <row r="71" spans="1:15" ht="13.5" hidden="1" thickBot="1">
      <c r="A71" s="133">
        <v>1</v>
      </c>
      <c r="B71" s="42"/>
      <c r="C71" s="133"/>
      <c r="D71" s="17"/>
      <c r="E71" s="84" t="s">
        <v>336</v>
      </c>
      <c r="F71" s="110">
        <v>0</v>
      </c>
      <c r="G71" s="133"/>
      <c r="H71" s="17"/>
      <c r="I71" s="84" t="s">
        <v>336</v>
      </c>
      <c r="J71" s="110">
        <v>0</v>
      </c>
      <c r="L71" s="2"/>
      <c r="M71" s="2"/>
      <c r="N71" s="379"/>
      <c r="O71" s="215"/>
    </row>
    <row r="72" spans="1:15" ht="16.5" hidden="1" thickBot="1">
      <c r="A72" s="133">
        <v>1</v>
      </c>
      <c r="B72" s="42"/>
      <c r="C72" s="133"/>
      <c r="D72" s="85"/>
      <c r="E72" s="86" t="s">
        <v>20</v>
      </c>
      <c r="F72" s="87" t="e">
        <f>SUM(F61:F71)</f>
        <v>#NAME?</v>
      </c>
      <c r="G72" s="133"/>
      <c r="H72" s="85"/>
      <c r="I72" s="86" t="s">
        <v>20</v>
      </c>
      <c r="J72" s="87" t="e">
        <f>SUM(J61:J71)</f>
        <v>#NAME?</v>
      </c>
      <c r="L72" s="2"/>
      <c r="M72" s="9"/>
      <c r="N72" s="341"/>
      <c r="O72" s="215"/>
    </row>
    <row r="73" spans="1:15" ht="12.75" hidden="1">
      <c r="A73" s="133">
        <v>1</v>
      </c>
      <c r="B73" s="42"/>
      <c r="C73" s="133"/>
      <c r="D73" s="17">
        <v>703</v>
      </c>
      <c r="E73" s="88" t="s">
        <v>323</v>
      </c>
      <c r="F73" s="89" t="e">
        <f>(F72-F71)*0.0025</f>
        <v>#NAME?</v>
      </c>
      <c r="G73" s="133"/>
      <c r="H73" s="17">
        <v>703</v>
      </c>
      <c r="I73" s="88" t="s">
        <v>323</v>
      </c>
      <c r="J73" s="89" t="e">
        <f>(J72-J71)*0.0025</f>
        <v>#NAME?</v>
      </c>
      <c r="L73" s="2"/>
      <c r="M73" s="380"/>
      <c r="N73" s="5"/>
      <c r="O73" s="215"/>
    </row>
    <row r="74" spans="1:15" ht="12.75" hidden="1">
      <c r="A74" s="133">
        <v>1</v>
      </c>
      <c r="B74" s="42"/>
      <c r="C74" s="133"/>
      <c r="D74" s="18">
        <v>707</v>
      </c>
      <c r="E74" s="90" t="s">
        <v>22</v>
      </c>
      <c r="F74" s="16" t="e">
        <f>(F72-F71)*0.03</f>
        <v>#NAME?</v>
      </c>
      <c r="G74" s="133"/>
      <c r="H74" s="18">
        <v>707</v>
      </c>
      <c r="I74" s="90" t="s">
        <v>22</v>
      </c>
      <c r="J74" s="16" t="e">
        <f>(J72-J71)*0.03</f>
        <v>#NAME?</v>
      </c>
      <c r="L74" s="11"/>
      <c r="M74" s="381"/>
      <c r="N74" s="5"/>
      <c r="O74" s="215"/>
    </row>
    <row r="75" spans="1:15" ht="12.75" hidden="1">
      <c r="A75" s="133">
        <v>1</v>
      </c>
      <c r="B75" s="42"/>
      <c r="C75" s="133"/>
      <c r="D75" s="18">
        <v>709</v>
      </c>
      <c r="E75" s="90" t="s">
        <v>23</v>
      </c>
      <c r="F75" s="16" t="e">
        <f>(F72-F71)*0.0213</f>
        <v>#NAME?</v>
      </c>
      <c r="G75" s="133"/>
      <c r="H75" s="18">
        <v>709</v>
      </c>
      <c r="I75" s="90" t="s">
        <v>23</v>
      </c>
      <c r="J75" s="16" t="e">
        <f>(J72-J71)*0.0213</f>
        <v>#NAME?</v>
      </c>
      <c r="L75" s="11"/>
      <c r="M75" s="381"/>
      <c r="N75" s="5"/>
      <c r="O75" s="215"/>
    </row>
    <row r="76" spans="1:15" ht="12.75" hidden="1">
      <c r="A76" s="133">
        <v>1</v>
      </c>
      <c r="B76" s="42"/>
      <c r="C76" s="133"/>
      <c r="D76" s="15">
        <v>710</v>
      </c>
      <c r="E76" s="90" t="s">
        <v>24</v>
      </c>
      <c r="F76" s="16" t="e">
        <f>(F72-F71)*0.00754</f>
        <v>#NAME?</v>
      </c>
      <c r="G76" s="133"/>
      <c r="H76" s="15">
        <v>710</v>
      </c>
      <c r="I76" s="90" t="s">
        <v>24</v>
      </c>
      <c r="J76" s="16" t="e">
        <f>(J72-J71)*0.00754</f>
        <v>#NAME?</v>
      </c>
      <c r="L76" s="382"/>
      <c r="M76" s="381"/>
      <c r="N76" s="5"/>
      <c r="O76" s="215"/>
    </row>
    <row r="77" spans="1:15" ht="12.75" hidden="1">
      <c r="A77" s="133">
        <v>1</v>
      </c>
      <c r="B77" s="42"/>
      <c r="C77" s="133"/>
      <c r="D77" s="15">
        <v>713</v>
      </c>
      <c r="E77" s="90" t="s">
        <v>25</v>
      </c>
      <c r="F77" s="16" t="e">
        <f>(F72-F71)*0.007</f>
        <v>#NAME?</v>
      </c>
      <c r="G77" s="133"/>
      <c r="H77" s="15">
        <v>713</v>
      </c>
      <c r="I77" s="90" t="s">
        <v>25</v>
      </c>
      <c r="J77" s="16" t="e">
        <f>(J72-J71)*0.007</f>
        <v>#NAME?</v>
      </c>
      <c r="L77" s="382"/>
      <c r="M77" s="381"/>
      <c r="N77" s="5"/>
      <c r="O77" s="215"/>
    </row>
    <row r="78" spans="1:15" ht="13.5" hidden="1" thickBot="1">
      <c r="A78" s="133">
        <v>1</v>
      </c>
      <c r="B78" s="42"/>
      <c r="C78" s="133"/>
      <c r="D78" s="15"/>
      <c r="E78" s="91" t="s">
        <v>26</v>
      </c>
      <c r="F78" s="41">
        <v>0</v>
      </c>
      <c r="G78" s="133"/>
      <c r="H78" s="15"/>
      <c r="I78" s="91" t="s">
        <v>26</v>
      </c>
      <c r="J78" s="41">
        <v>0</v>
      </c>
      <c r="L78" s="382"/>
      <c r="M78" s="381"/>
      <c r="N78" s="383"/>
      <c r="O78" s="215"/>
    </row>
    <row r="79" spans="1:15" ht="16.5" hidden="1" thickBot="1">
      <c r="A79" s="133">
        <v>1</v>
      </c>
      <c r="B79" s="42"/>
      <c r="C79" s="133"/>
      <c r="D79" s="92"/>
      <c r="E79" s="86" t="s">
        <v>27</v>
      </c>
      <c r="F79" s="87" t="e">
        <f>SUM(F73:F78)</f>
        <v>#NAME?</v>
      </c>
      <c r="G79" s="133"/>
      <c r="H79" s="92"/>
      <c r="I79" s="86" t="s">
        <v>27</v>
      </c>
      <c r="J79" s="87" t="e">
        <f>SUM(J73:J78)</f>
        <v>#NAME?</v>
      </c>
      <c r="L79" s="11"/>
      <c r="M79" s="9"/>
      <c r="N79" s="341"/>
      <c r="O79" s="215"/>
    </row>
    <row r="80" spans="1:15" ht="13.5" hidden="1" thickBot="1">
      <c r="A80" s="133">
        <v>1</v>
      </c>
      <c r="B80" s="42"/>
      <c r="C80" s="133"/>
      <c r="D80" s="93"/>
      <c r="E80" s="94"/>
      <c r="F80" s="95"/>
      <c r="G80" s="133"/>
      <c r="H80" s="93"/>
      <c r="I80" s="94"/>
      <c r="J80" s="95"/>
      <c r="L80" s="68"/>
      <c r="M80" s="2"/>
      <c r="N80" s="6"/>
      <c r="O80" s="215"/>
    </row>
    <row r="81" spans="1:15" ht="16.5" hidden="1" thickBot="1">
      <c r="A81" s="133">
        <v>1</v>
      </c>
      <c r="B81" s="99"/>
      <c r="C81" s="133"/>
      <c r="D81" s="96"/>
      <c r="E81" s="97" t="s">
        <v>28</v>
      </c>
      <c r="F81" s="98" t="e">
        <f>F72-F79</f>
        <v>#NAME?</v>
      </c>
      <c r="G81" s="133"/>
      <c r="H81" s="96"/>
      <c r="I81" s="97" t="s">
        <v>28</v>
      </c>
      <c r="J81" s="98" t="e">
        <f>J72-J79</f>
        <v>#NAME?</v>
      </c>
      <c r="L81" s="4"/>
      <c r="M81" s="174"/>
      <c r="N81" s="176"/>
      <c r="O81" s="215"/>
    </row>
    <row r="82" spans="1:15" ht="12.75" hidden="1">
      <c r="A82" s="133"/>
      <c r="B82" s="99"/>
      <c r="C82" s="133"/>
      <c r="G82" s="133"/>
      <c r="L82" s="215"/>
      <c r="M82" s="215"/>
      <c r="N82" s="215"/>
      <c r="O82" s="215"/>
    </row>
    <row r="83" spans="1:7" ht="12.75" hidden="1">
      <c r="A83" s="133">
        <v>1</v>
      </c>
      <c r="B83" s="99"/>
      <c r="C83" s="144"/>
      <c r="G83" s="133"/>
    </row>
    <row r="84" spans="1:17" ht="15.75" hidden="1">
      <c r="A84" s="133">
        <v>1</v>
      </c>
      <c r="B84" s="99"/>
      <c r="C84" s="144"/>
      <c r="D84" s="145"/>
      <c r="E84" s="146"/>
      <c r="F84" s="99"/>
      <c r="G84" s="144"/>
      <c r="H84" s="147"/>
      <c r="I84" s="148"/>
      <c r="J84" s="148"/>
      <c r="K84" s="148"/>
      <c r="L84" s="148"/>
      <c r="M84" s="99"/>
      <c r="N84" s="224"/>
      <c r="O84" s="42"/>
      <c r="P84" s="10"/>
      <c r="Q84" s="10"/>
    </row>
    <row r="85" ht="21.75" customHeight="1" hidden="1"/>
    <row r="86" spans="3:16" s="213" customFormat="1" ht="15.75" hidden="1">
      <c r="C86" s="209"/>
      <c r="F86" s="135"/>
      <c r="G86" s="125"/>
      <c r="H86" s="68"/>
      <c r="I86" s="68"/>
      <c r="J86" s="135"/>
      <c r="K86" s="11"/>
      <c r="L86" s="125"/>
      <c r="M86" s="125"/>
      <c r="N86" s="125"/>
      <c r="O86" s="125"/>
      <c r="P86" s="125"/>
    </row>
    <row r="87" spans="1:20" ht="16.5" hidden="1" thickBot="1">
      <c r="A87">
        <v>2</v>
      </c>
      <c r="F87" t="s">
        <v>354</v>
      </c>
      <c r="G87" s="10" t="s">
        <v>356</v>
      </c>
      <c r="H87" s="10" t="s">
        <v>357</v>
      </c>
      <c r="I87" s="124" t="s">
        <v>358</v>
      </c>
      <c r="J87" s="124" t="s">
        <v>359</v>
      </c>
      <c r="K87" s="124" t="s">
        <v>360</v>
      </c>
      <c r="L87" s="124" t="s">
        <v>361</v>
      </c>
      <c r="M87" s="124" t="s">
        <v>362</v>
      </c>
      <c r="N87" s="124" t="s">
        <v>363</v>
      </c>
      <c r="O87" s="126" t="s">
        <v>364</v>
      </c>
      <c r="P87" s="126">
        <v>1</v>
      </c>
      <c r="Q87" s="126">
        <v>2</v>
      </c>
      <c r="R87" s="126">
        <v>3</v>
      </c>
      <c r="S87" s="126">
        <v>4</v>
      </c>
      <c r="T87" s="126">
        <v>5</v>
      </c>
    </row>
    <row r="88" spans="1:20" ht="15.75" hidden="1">
      <c r="A88">
        <v>2</v>
      </c>
      <c r="E88" s="115">
        <v>0</v>
      </c>
      <c r="F88" s="340" t="e">
        <f aca="true" t="shared" si="14" ref="F88:F99">IF(puntosproljorvarios2&lt;620,T88,O88)</f>
        <v>#NAME?</v>
      </c>
      <c r="G88" s="334">
        <v>409</v>
      </c>
      <c r="H88" s="334">
        <v>99</v>
      </c>
      <c r="I88" s="334">
        <v>0</v>
      </c>
      <c r="J88" s="334">
        <v>0</v>
      </c>
      <c r="K88" s="334">
        <v>0</v>
      </c>
      <c r="L88" s="334">
        <v>0</v>
      </c>
      <c r="M88" s="334">
        <v>99</v>
      </c>
      <c r="N88" s="334">
        <v>99</v>
      </c>
      <c r="O88" s="127">
        <f aca="true" t="shared" si="15" ref="O88:O99">IF(punbasjubvarios2&gt;971,N88,M88)</f>
        <v>99</v>
      </c>
      <c r="P88" s="127">
        <f>IF(punbasjubvarios2&lt;972,G88,H88)</f>
        <v>409</v>
      </c>
      <c r="Q88" s="127">
        <f aca="true" t="shared" si="16" ref="Q88:Q99">IF(punbasjubvarios1&lt;1170,P88,I88)</f>
        <v>0</v>
      </c>
      <c r="R88" s="127">
        <f aca="true" t="shared" si="17" ref="R88:R99">IF(punbasjubvarios2&lt;1401,Q88,J88)</f>
        <v>0</v>
      </c>
      <c r="S88" s="127">
        <f aca="true" t="shared" si="18" ref="S88:S99">IF(punbasjubvarios2&lt;1943,R88,K88)</f>
        <v>0</v>
      </c>
      <c r="T88" s="127">
        <f aca="true" t="shared" si="19" ref="T88:T99">IF(punbasjubvarios2&lt;=2220,S88,L88)</f>
        <v>0</v>
      </c>
    </row>
    <row r="89" spans="1:20" ht="15.75" hidden="1">
      <c r="A89">
        <v>2</v>
      </c>
      <c r="E89" s="116">
        <v>0.1</v>
      </c>
      <c r="F89" s="340" t="e">
        <f t="shared" si="14"/>
        <v>#NAME?</v>
      </c>
      <c r="G89" s="334">
        <v>581</v>
      </c>
      <c r="H89" s="334">
        <v>112</v>
      </c>
      <c r="I89" s="334">
        <v>0</v>
      </c>
      <c r="J89" s="334">
        <v>0</v>
      </c>
      <c r="K89" s="334">
        <v>0</v>
      </c>
      <c r="L89" s="334">
        <v>0</v>
      </c>
      <c r="M89" s="334">
        <v>112</v>
      </c>
      <c r="N89" s="334">
        <v>112</v>
      </c>
      <c r="O89" s="127">
        <f t="shared" si="15"/>
        <v>112</v>
      </c>
      <c r="P89" s="127">
        <f aca="true" t="shared" si="20" ref="P89:P99">IF(punbasjubvarios1&lt;972,G89,H89)</f>
        <v>112</v>
      </c>
      <c r="Q89" s="127">
        <f t="shared" si="16"/>
        <v>0</v>
      </c>
      <c r="R89" s="127">
        <f t="shared" si="17"/>
        <v>0</v>
      </c>
      <c r="S89" s="127">
        <f t="shared" si="18"/>
        <v>0</v>
      </c>
      <c r="T89" s="127">
        <f t="shared" si="19"/>
        <v>0</v>
      </c>
    </row>
    <row r="90" spans="1:20" ht="15.75" hidden="1">
      <c r="A90">
        <v>2</v>
      </c>
      <c r="E90" s="117">
        <v>0.15</v>
      </c>
      <c r="F90" s="340" t="e">
        <f t="shared" si="14"/>
        <v>#NAME?</v>
      </c>
      <c r="G90" s="334">
        <v>705</v>
      </c>
      <c r="H90" s="334">
        <v>224</v>
      </c>
      <c r="I90" s="334">
        <v>298</v>
      </c>
      <c r="J90" s="334">
        <v>240</v>
      </c>
      <c r="K90" s="334">
        <v>224</v>
      </c>
      <c r="L90" s="334">
        <v>0</v>
      </c>
      <c r="M90" s="334">
        <v>273</v>
      </c>
      <c r="N90" s="334">
        <v>273</v>
      </c>
      <c r="O90" s="127">
        <f t="shared" si="15"/>
        <v>273</v>
      </c>
      <c r="P90" s="127">
        <f t="shared" si="20"/>
        <v>224</v>
      </c>
      <c r="Q90" s="127">
        <f t="shared" si="16"/>
        <v>298</v>
      </c>
      <c r="R90" s="127">
        <f t="shared" si="17"/>
        <v>298</v>
      </c>
      <c r="S90" s="127">
        <f t="shared" si="18"/>
        <v>298</v>
      </c>
      <c r="T90" s="127">
        <f t="shared" si="19"/>
        <v>298</v>
      </c>
    </row>
    <row r="91" spans="1:20" ht="15.75" hidden="1">
      <c r="A91">
        <v>2</v>
      </c>
      <c r="E91" s="117">
        <v>0.3</v>
      </c>
      <c r="F91" s="340" t="e">
        <f t="shared" si="14"/>
        <v>#NAME?</v>
      </c>
      <c r="G91" s="334">
        <v>733</v>
      </c>
      <c r="H91" s="334">
        <v>242</v>
      </c>
      <c r="I91" s="334">
        <v>298</v>
      </c>
      <c r="J91" s="334">
        <v>240</v>
      </c>
      <c r="K91" s="334">
        <v>224</v>
      </c>
      <c r="L91" s="334">
        <v>0</v>
      </c>
      <c r="M91" s="334">
        <v>472</v>
      </c>
      <c r="N91" s="334">
        <v>435</v>
      </c>
      <c r="O91" s="127">
        <f t="shared" si="15"/>
        <v>472</v>
      </c>
      <c r="P91" s="127">
        <f t="shared" si="20"/>
        <v>242</v>
      </c>
      <c r="Q91" s="127">
        <f t="shared" si="16"/>
        <v>298</v>
      </c>
      <c r="R91" s="127">
        <f t="shared" si="17"/>
        <v>298</v>
      </c>
      <c r="S91" s="127">
        <f t="shared" si="18"/>
        <v>298</v>
      </c>
      <c r="T91" s="127">
        <f t="shared" si="19"/>
        <v>298</v>
      </c>
    </row>
    <row r="92" spans="1:20" ht="15.75" hidden="1">
      <c r="A92">
        <v>2</v>
      </c>
      <c r="E92" s="117">
        <v>0.4</v>
      </c>
      <c r="F92" s="340" t="e">
        <f t="shared" si="14"/>
        <v>#NAME?</v>
      </c>
      <c r="G92" s="334">
        <v>796</v>
      </c>
      <c r="H92" s="334">
        <v>261</v>
      </c>
      <c r="I92" s="334">
        <v>311</v>
      </c>
      <c r="J92" s="334">
        <v>248</v>
      </c>
      <c r="K92" s="334">
        <v>224</v>
      </c>
      <c r="L92" s="334">
        <v>174</v>
      </c>
      <c r="M92" s="334">
        <v>546</v>
      </c>
      <c r="N92" s="334">
        <v>497</v>
      </c>
      <c r="O92" s="127">
        <f t="shared" si="15"/>
        <v>546</v>
      </c>
      <c r="P92" s="127">
        <f t="shared" si="20"/>
        <v>261</v>
      </c>
      <c r="Q92" s="127">
        <f t="shared" si="16"/>
        <v>311</v>
      </c>
      <c r="R92" s="127">
        <f t="shared" si="17"/>
        <v>311</v>
      </c>
      <c r="S92" s="127">
        <f t="shared" si="18"/>
        <v>311</v>
      </c>
      <c r="T92" s="127">
        <f t="shared" si="19"/>
        <v>311</v>
      </c>
    </row>
    <row r="93" spans="1:20" ht="15.75" hidden="1">
      <c r="A93">
        <v>2</v>
      </c>
      <c r="E93" s="117">
        <v>0.5</v>
      </c>
      <c r="F93" s="340" t="e">
        <f t="shared" si="14"/>
        <v>#NAME?</v>
      </c>
      <c r="G93" s="334">
        <v>575</v>
      </c>
      <c r="H93" s="334">
        <v>286</v>
      </c>
      <c r="I93" s="334">
        <v>311</v>
      </c>
      <c r="J93" s="334">
        <v>248</v>
      </c>
      <c r="K93" s="334">
        <v>224</v>
      </c>
      <c r="L93" s="334">
        <v>174</v>
      </c>
      <c r="M93" s="334">
        <v>590</v>
      </c>
      <c r="N93" s="334">
        <v>540</v>
      </c>
      <c r="O93" s="127">
        <f t="shared" si="15"/>
        <v>590</v>
      </c>
      <c r="P93" s="127">
        <f t="shared" si="20"/>
        <v>286</v>
      </c>
      <c r="Q93" s="127">
        <f t="shared" si="16"/>
        <v>311</v>
      </c>
      <c r="R93" s="127">
        <f t="shared" si="17"/>
        <v>311</v>
      </c>
      <c r="S93" s="127">
        <f t="shared" si="18"/>
        <v>311</v>
      </c>
      <c r="T93" s="127">
        <f t="shared" si="19"/>
        <v>311</v>
      </c>
    </row>
    <row r="94" spans="1:20" ht="15.75" hidden="1">
      <c r="A94">
        <v>2</v>
      </c>
      <c r="E94" s="117">
        <v>0.6</v>
      </c>
      <c r="F94" s="340" t="e">
        <f t="shared" si="14"/>
        <v>#NAME?</v>
      </c>
      <c r="G94" s="334">
        <v>578</v>
      </c>
      <c r="H94" s="334">
        <v>323</v>
      </c>
      <c r="I94" s="334">
        <v>323</v>
      </c>
      <c r="J94" s="334">
        <v>252</v>
      </c>
      <c r="K94" s="334">
        <v>236</v>
      </c>
      <c r="L94" s="334">
        <v>199</v>
      </c>
      <c r="M94" s="334">
        <v>633</v>
      </c>
      <c r="N94" s="334">
        <v>559</v>
      </c>
      <c r="O94" s="127">
        <f t="shared" si="15"/>
        <v>633</v>
      </c>
      <c r="P94" s="127">
        <f t="shared" si="20"/>
        <v>323</v>
      </c>
      <c r="Q94" s="127">
        <f t="shared" si="16"/>
        <v>323</v>
      </c>
      <c r="R94" s="127">
        <f t="shared" si="17"/>
        <v>323</v>
      </c>
      <c r="S94" s="127">
        <f t="shared" si="18"/>
        <v>323</v>
      </c>
      <c r="T94" s="127">
        <f t="shared" si="19"/>
        <v>323</v>
      </c>
    </row>
    <row r="95" spans="1:20" ht="15.75" hidden="1">
      <c r="A95">
        <v>2</v>
      </c>
      <c r="E95" s="117">
        <v>0.7</v>
      </c>
      <c r="F95" s="340" t="e">
        <f t="shared" si="14"/>
        <v>#NAME?</v>
      </c>
      <c r="G95" s="334">
        <v>553</v>
      </c>
      <c r="H95" s="334">
        <v>354</v>
      </c>
      <c r="I95" s="334">
        <v>453</v>
      </c>
      <c r="J95" s="334">
        <v>286</v>
      </c>
      <c r="K95" s="334">
        <v>236</v>
      </c>
      <c r="L95" s="334">
        <v>199</v>
      </c>
      <c r="M95" s="334">
        <v>652</v>
      </c>
      <c r="N95" s="334">
        <v>578</v>
      </c>
      <c r="O95" s="127">
        <f t="shared" si="15"/>
        <v>652</v>
      </c>
      <c r="P95" s="127">
        <f t="shared" si="20"/>
        <v>354</v>
      </c>
      <c r="Q95" s="127">
        <f t="shared" si="16"/>
        <v>453</v>
      </c>
      <c r="R95" s="127">
        <f t="shared" si="17"/>
        <v>453</v>
      </c>
      <c r="S95" s="127">
        <f t="shared" si="18"/>
        <v>453</v>
      </c>
      <c r="T95" s="127">
        <f t="shared" si="19"/>
        <v>453</v>
      </c>
    </row>
    <row r="96" spans="1:20" ht="15.75" hidden="1">
      <c r="A96">
        <v>2</v>
      </c>
      <c r="E96" s="117">
        <v>0.8</v>
      </c>
      <c r="F96" s="340" t="e">
        <f t="shared" si="14"/>
        <v>#NAME?</v>
      </c>
      <c r="G96" s="334">
        <v>664</v>
      </c>
      <c r="H96" s="334">
        <v>428</v>
      </c>
      <c r="I96" s="334">
        <v>491</v>
      </c>
      <c r="J96" s="334">
        <v>422</v>
      </c>
      <c r="K96" s="334">
        <v>348</v>
      </c>
      <c r="L96" s="334">
        <v>224</v>
      </c>
      <c r="M96" s="334">
        <v>689</v>
      </c>
      <c r="N96" s="334">
        <v>590</v>
      </c>
      <c r="O96" s="127">
        <f t="shared" si="15"/>
        <v>689</v>
      </c>
      <c r="P96" s="127">
        <f t="shared" si="20"/>
        <v>428</v>
      </c>
      <c r="Q96" s="127">
        <f t="shared" si="16"/>
        <v>491</v>
      </c>
      <c r="R96" s="127">
        <f t="shared" si="17"/>
        <v>491</v>
      </c>
      <c r="S96" s="127">
        <f t="shared" si="18"/>
        <v>491</v>
      </c>
      <c r="T96" s="127">
        <f t="shared" si="19"/>
        <v>491</v>
      </c>
    </row>
    <row r="97" spans="1:20" ht="15.75" hidden="1">
      <c r="A97">
        <v>2</v>
      </c>
      <c r="E97" s="117">
        <v>1</v>
      </c>
      <c r="F97" s="340" t="e">
        <f t="shared" si="14"/>
        <v>#NAME?</v>
      </c>
      <c r="G97" s="334">
        <v>826</v>
      </c>
      <c r="H97" s="334">
        <v>540</v>
      </c>
      <c r="I97" s="334">
        <v>509</v>
      </c>
      <c r="J97" s="334">
        <v>410</v>
      </c>
      <c r="K97" s="334">
        <v>385</v>
      </c>
      <c r="L97" s="334">
        <v>224</v>
      </c>
      <c r="M97" s="334">
        <v>733</v>
      </c>
      <c r="N97" s="334">
        <v>609</v>
      </c>
      <c r="O97" s="127">
        <f t="shared" si="15"/>
        <v>733</v>
      </c>
      <c r="P97" s="127">
        <f t="shared" si="20"/>
        <v>540</v>
      </c>
      <c r="Q97" s="127">
        <f t="shared" si="16"/>
        <v>509</v>
      </c>
      <c r="R97" s="127">
        <f t="shared" si="17"/>
        <v>509</v>
      </c>
      <c r="S97" s="127">
        <f t="shared" si="18"/>
        <v>509</v>
      </c>
      <c r="T97" s="127">
        <f t="shared" si="19"/>
        <v>509</v>
      </c>
    </row>
    <row r="98" spans="1:20" ht="15.75" hidden="1">
      <c r="A98">
        <v>2</v>
      </c>
      <c r="E98" s="117">
        <v>1.1</v>
      </c>
      <c r="F98" s="340" t="e">
        <f t="shared" si="14"/>
        <v>#NAME?</v>
      </c>
      <c r="G98" s="334">
        <v>925</v>
      </c>
      <c r="H98" s="334">
        <v>615</v>
      </c>
      <c r="I98" s="334">
        <v>534</v>
      </c>
      <c r="J98" s="334">
        <v>410</v>
      </c>
      <c r="K98" s="334">
        <v>397</v>
      </c>
      <c r="L98" s="334">
        <v>236</v>
      </c>
      <c r="M98" s="334">
        <v>764</v>
      </c>
      <c r="N98" s="334">
        <v>627</v>
      </c>
      <c r="O98" s="127">
        <f t="shared" si="15"/>
        <v>764</v>
      </c>
      <c r="P98" s="127">
        <f t="shared" si="20"/>
        <v>615</v>
      </c>
      <c r="Q98" s="127">
        <f t="shared" si="16"/>
        <v>534</v>
      </c>
      <c r="R98" s="127">
        <f t="shared" si="17"/>
        <v>534</v>
      </c>
      <c r="S98" s="127">
        <f t="shared" si="18"/>
        <v>534</v>
      </c>
      <c r="T98" s="127">
        <f t="shared" si="19"/>
        <v>534</v>
      </c>
    </row>
    <row r="99" spans="1:20" ht="16.5" hidden="1" thickBot="1">
      <c r="A99">
        <v>2</v>
      </c>
      <c r="E99" s="118">
        <v>1.2</v>
      </c>
      <c r="F99" s="340" t="e">
        <f t="shared" si="14"/>
        <v>#NAME?</v>
      </c>
      <c r="G99" s="334">
        <v>956</v>
      </c>
      <c r="H99" s="334">
        <v>633</v>
      </c>
      <c r="I99" s="334">
        <v>596</v>
      </c>
      <c r="J99" s="334">
        <v>416</v>
      </c>
      <c r="K99" s="334">
        <v>410</v>
      </c>
      <c r="L99" s="334">
        <v>236</v>
      </c>
      <c r="M99" s="334">
        <v>770</v>
      </c>
      <c r="N99" s="334">
        <v>633</v>
      </c>
      <c r="O99" s="127">
        <f t="shared" si="15"/>
        <v>770</v>
      </c>
      <c r="P99" s="127">
        <f t="shared" si="20"/>
        <v>633</v>
      </c>
      <c r="Q99" s="127">
        <f t="shared" si="16"/>
        <v>596</v>
      </c>
      <c r="R99" s="127">
        <f t="shared" si="17"/>
        <v>596</v>
      </c>
      <c r="S99" s="127">
        <f t="shared" si="18"/>
        <v>596</v>
      </c>
      <c r="T99" s="127">
        <f t="shared" si="19"/>
        <v>596</v>
      </c>
    </row>
    <row r="100" spans="1:20" s="208" customFormat="1" ht="15.75" hidden="1">
      <c r="A100">
        <v>2</v>
      </c>
      <c r="E100" s="209"/>
      <c r="F100" s="135"/>
      <c r="G100" s="135"/>
      <c r="H100" s="210"/>
      <c r="I100" s="211"/>
      <c r="J100" s="211"/>
      <c r="K100" s="135"/>
      <c r="L100" s="11"/>
      <c r="M100" s="125"/>
      <c r="N100" s="125"/>
      <c r="O100" s="125"/>
      <c r="P100" s="125"/>
      <c r="Q100" s="125"/>
      <c r="R100" s="125"/>
      <c r="S100" s="125"/>
      <c r="T100" s="125"/>
    </row>
    <row r="101" spans="1:20" s="208" customFormat="1" ht="15.75" hidden="1">
      <c r="A101">
        <v>2</v>
      </c>
      <c r="E101" s="209"/>
      <c r="F101" s="135" t="s">
        <v>388</v>
      </c>
      <c r="G101" s="135" t="e">
        <f>LOOKUP(F134,porantvar2,cod06cargosvar2feb11)</f>
        <v>#NAME?</v>
      </c>
      <c r="H101" s="210"/>
      <c r="I101" s="211"/>
      <c r="J101" s="211"/>
      <c r="K101" s="135"/>
      <c r="L101" s="11"/>
      <c r="M101" s="125"/>
      <c r="N101" s="125"/>
      <c r="O101" s="125"/>
      <c r="P101" s="125"/>
      <c r="Q101" s="125"/>
      <c r="R101" s="125"/>
      <c r="S101" s="125"/>
      <c r="T101" s="125"/>
    </row>
    <row r="102" spans="1:20" s="208" customFormat="1" ht="15.75" hidden="1">
      <c r="A102"/>
      <c r="E102" s="209"/>
      <c r="F102" s="135"/>
      <c r="G102" s="135"/>
      <c r="H102" s="210"/>
      <c r="I102" s="211"/>
      <c r="J102" s="211"/>
      <c r="K102" s="135"/>
      <c r="L102" s="11"/>
      <c r="M102" s="125"/>
      <c r="N102" s="125"/>
      <c r="O102" s="125"/>
      <c r="P102" s="125"/>
      <c r="Q102" s="125"/>
      <c r="R102" s="125"/>
      <c r="S102" s="125"/>
      <c r="T102" s="125"/>
    </row>
    <row r="103" spans="1:20" ht="16.5" hidden="1" thickBot="1">
      <c r="A103">
        <v>2</v>
      </c>
      <c r="F103" t="s">
        <v>354</v>
      </c>
      <c r="G103" s="10" t="s">
        <v>356</v>
      </c>
      <c r="H103" s="10" t="s">
        <v>357</v>
      </c>
      <c r="I103" s="124" t="s">
        <v>358</v>
      </c>
      <c r="J103" s="124" t="s">
        <v>359</v>
      </c>
      <c r="K103" s="124" t="s">
        <v>360</v>
      </c>
      <c r="L103" s="124" t="s">
        <v>361</v>
      </c>
      <c r="M103" s="124" t="s">
        <v>362</v>
      </c>
      <c r="N103" s="124" t="s">
        <v>363</v>
      </c>
      <c r="O103" s="126" t="s">
        <v>364</v>
      </c>
      <c r="P103" s="126">
        <v>1</v>
      </c>
      <c r="Q103" s="126">
        <v>2</v>
      </c>
      <c r="R103" s="126">
        <v>3</v>
      </c>
      <c r="S103" s="126">
        <v>4</v>
      </c>
      <c r="T103" s="126">
        <v>5</v>
      </c>
    </row>
    <row r="104" spans="1:20" ht="15.75" hidden="1">
      <c r="A104">
        <v>2</v>
      </c>
      <c r="E104" s="115">
        <v>0</v>
      </c>
      <c r="F104" s="340" t="e">
        <f aca="true" t="shared" si="21" ref="F104:F115">IF(puntosproljorvarios2&lt;620,T104,O104)</f>
        <v>#NAME?</v>
      </c>
      <c r="G104" s="10">
        <v>499</v>
      </c>
      <c r="H104" s="10">
        <v>121</v>
      </c>
      <c r="I104" s="10">
        <v>0</v>
      </c>
      <c r="J104" s="10">
        <v>0</v>
      </c>
      <c r="K104" s="10">
        <v>0</v>
      </c>
      <c r="L104" s="10">
        <v>0</v>
      </c>
      <c r="M104" s="10">
        <v>121</v>
      </c>
      <c r="N104" s="10">
        <v>121</v>
      </c>
      <c r="O104" s="127">
        <f aca="true" t="shared" si="22" ref="O104:O115">IF(punbasjubvarios2&gt;971,N104,M104)</f>
        <v>121</v>
      </c>
      <c r="P104" s="127">
        <f>IF(punbasjubvarios2&lt;972,G104,H104)</f>
        <v>499</v>
      </c>
      <c r="Q104" s="127">
        <f aca="true" t="shared" si="23" ref="Q104:Q115">IF(punbasjubvarios1&lt;1170,P104,I104)</f>
        <v>0</v>
      </c>
      <c r="R104" s="127">
        <f aca="true" t="shared" si="24" ref="R104:R115">IF(punbasjubvarios2&lt;1401,Q104,J104)</f>
        <v>0</v>
      </c>
      <c r="S104" s="127">
        <f aca="true" t="shared" si="25" ref="S104:S115">IF(punbasjubvarios2&lt;1943,R104,K104)</f>
        <v>0</v>
      </c>
      <c r="T104" s="127">
        <f aca="true" t="shared" si="26" ref="T104:T115">IF(punbasjubvarios2&lt;=2220,S104,L104)</f>
        <v>0</v>
      </c>
    </row>
    <row r="105" spans="1:20" ht="15.75" hidden="1">
      <c r="A105">
        <v>2</v>
      </c>
      <c r="E105" s="116">
        <v>0.1</v>
      </c>
      <c r="F105" s="340" t="e">
        <f t="shared" si="21"/>
        <v>#NAME?</v>
      </c>
      <c r="G105" s="10">
        <v>709</v>
      </c>
      <c r="H105" s="10">
        <v>137</v>
      </c>
      <c r="I105" s="10">
        <v>0</v>
      </c>
      <c r="J105" s="10">
        <v>0</v>
      </c>
      <c r="K105" s="10">
        <v>0</v>
      </c>
      <c r="L105" s="10">
        <v>0</v>
      </c>
      <c r="M105" s="10">
        <v>137</v>
      </c>
      <c r="N105" s="10">
        <v>137</v>
      </c>
      <c r="O105" s="127">
        <f t="shared" si="22"/>
        <v>137</v>
      </c>
      <c r="P105" s="127">
        <f aca="true" t="shared" si="27" ref="P105:P115">IF(punbasjubvarios1&lt;972,G105,H105)</f>
        <v>137</v>
      </c>
      <c r="Q105" s="127">
        <f t="shared" si="23"/>
        <v>0</v>
      </c>
      <c r="R105" s="127">
        <f t="shared" si="24"/>
        <v>0</v>
      </c>
      <c r="S105" s="127">
        <f t="shared" si="25"/>
        <v>0</v>
      </c>
      <c r="T105" s="127">
        <f t="shared" si="26"/>
        <v>0</v>
      </c>
    </row>
    <row r="106" spans="1:20" ht="15.75" hidden="1">
      <c r="A106">
        <v>2</v>
      </c>
      <c r="E106" s="117">
        <v>0.15</v>
      </c>
      <c r="F106" s="340" t="e">
        <f t="shared" si="21"/>
        <v>#NAME?</v>
      </c>
      <c r="G106" s="10">
        <v>860</v>
      </c>
      <c r="H106" s="10">
        <v>273</v>
      </c>
      <c r="I106" s="10">
        <v>364</v>
      </c>
      <c r="J106" s="10">
        <v>293</v>
      </c>
      <c r="K106" s="10">
        <v>273</v>
      </c>
      <c r="L106" s="10">
        <v>0</v>
      </c>
      <c r="M106" s="10">
        <v>333</v>
      </c>
      <c r="N106" s="10">
        <v>333</v>
      </c>
      <c r="O106" s="127">
        <f t="shared" si="22"/>
        <v>333</v>
      </c>
      <c r="P106" s="127">
        <f t="shared" si="27"/>
        <v>273</v>
      </c>
      <c r="Q106" s="127">
        <f t="shared" si="23"/>
        <v>364</v>
      </c>
      <c r="R106" s="127">
        <f t="shared" si="24"/>
        <v>364</v>
      </c>
      <c r="S106" s="127">
        <f t="shared" si="25"/>
        <v>364</v>
      </c>
      <c r="T106" s="127">
        <f t="shared" si="26"/>
        <v>364</v>
      </c>
    </row>
    <row r="107" spans="1:20" ht="15.75" hidden="1">
      <c r="A107">
        <v>2</v>
      </c>
      <c r="E107" s="117">
        <v>0.3</v>
      </c>
      <c r="F107" s="340" t="e">
        <f t="shared" si="21"/>
        <v>#NAME?</v>
      </c>
      <c r="G107" s="10">
        <v>894</v>
      </c>
      <c r="H107" s="10">
        <v>295</v>
      </c>
      <c r="I107" s="10">
        <v>364</v>
      </c>
      <c r="J107" s="10">
        <v>293</v>
      </c>
      <c r="K107" s="10">
        <v>273</v>
      </c>
      <c r="L107" s="10">
        <v>0</v>
      </c>
      <c r="M107" s="10">
        <v>576</v>
      </c>
      <c r="N107" s="10">
        <v>531</v>
      </c>
      <c r="O107" s="127">
        <f t="shared" si="22"/>
        <v>576</v>
      </c>
      <c r="P107" s="127">
        <f t="shared" si="27"/>
        <v>295</v>
      </c>
      <c r="Q107" s="127">
        <f t="shared" si="23"/>
        <v>364</v>
      </c>
      <c r="R107" s="127">
        <f t="shared" si="24"/>
        <v>364</v>
      </c>
      <c r="S107" s="127">
        <f t="shared" si="25"/>
        <v>364</v>
      </c>
      <c r="T107" s="127">
        <f t="shared" si="26"/>
        <v>364</v>
      </c>
    </row>
    <row r="108" spans="1:20" ht="15.75" hidden="1">
      <c r="A108">
        <v>2</v>
      </c>
      <c r="E108" s="117">
        <v>0.4</v>
      </c>
      <c r="F108" s="340" t="e">
        <f t="shared" si="21"/>
        <v>#NAME?</v>
      </c>
      <c r="G108" s="10">
        <v>806</v>
      </c>
      <c r="H108" s="10">
        <v>318</v>
      </c>
      <c r="I108" s="10">
        <v>379</v>
      </c>
      <c r="J108" s="10">
        <v>303</v>
      </c>
      <c r="K108" s="10">
        <v>273</v>
      </c>
      <c r="L108" s="10">
        <v>212</v>
      </c>
      <c r="M108" s="10">
        <v>666</v>
      </c>
      <c r="N108" s="10">
        <v>606</v>
      </c>
      <c r="O108" s="127">
        <f t="shared" si="22"/>
        <v>666</v>
      </c>
      <c r="P108" s="127">
        <f t="shared" si="27"/>
        <v>318</v>
      </c>
      <c r="Q108" s="127">
        <f t="shared" si="23"/>
        <v>379</v>
      </c>
      <c r="R108" s="127">
        <f t="shared" si="24"/>
        <v>379</v>
      </c>
      <c r="S108" s="127">
        <f t="shared" si="25"/>
        <v>379</v>
      </c>
      <c r="T108" s="127">
        <f t="shared" si="26"/>
        <v>379</v>
      </c>
    </row>
    <row r="109" spans="1:20" ht="15.75" hidden="1">
      <c r="A109">
        <v>2</v>
      </c>
      <c r="E109" s="117">
        <v>0.5</v>
      </c>
      <c r="F109" s="340" t="e">
        <f t="shared" si="21"/>
        <v>#NAME?</v>
      </c>
      <c r="G109" s="10">
        <v>702</v>
      </c>
      <c r="H109" s="10">
        <v>349</v>
      </c>
      <c r="I109" s="10">
        <v>379</v>
      </c>
      <c r="J109" s="10">
        <v>303</v>
      </c>
      <c r="K109" s="10">
        <v>273</v>
      </c>
      <c r="L109" s="10">
        <v>212</v>
      </c>
      <c r="M109" s="10">
        <v>720</v>
      </c>
      <c r="N109" s="10">
        <v>659</v>
      </c>
      <c r="O109" s="127">
        <f t="shared" si="22"/>
        <v>720</v>
      </c>
      <c r="P109" s="127">
        <f t="shared" si="27"/>
        <v>349</v>
      </c>
      <c r="Q109" s="127">
        <f t="shared" si="23"/>
        <v>379</v>
      </c>
      <c r="R109" s="127">
        <f t="shared" si="24"/>
        <v>379</v>
      </c>
      <c r="S109" s="127">
        <f t="shared" si="25"/>
        <v>379</v>
      </c>
      <c r="T109" s="127">
        <f t="shared" si="26"/>
        <v>379</v>
      </c>
    </row>
    <row r="110" spans="1:20" ht="15.75" hidden="1">
      <c r="A110">
        <v>2</v>
      </c>
      <c r="E110" s="117">
        <v>0.6</v>
      </c>
      <c r="F110" s="340" t="e">
        <f t="shared" si="21"/>
        <v>#NAME?</v>
      </c>
      <c r="G110" s="10">
        <v>705</v>
      </c>
      <c r="H110" s="10">
        <v>394</v>
      </c>
      <c r="I110" s="10">
        <v>394</v>
      </c>
      <c r="J110" s="10">
        <v>307</v>
      </c>
      <c r="K110" s="10">
        <v>288</v>
      </c>
      <c r="L110" s="10">
        <v>243</v>
      </c>
      <c r="M110" s="10">
        <v>772</v>
      </c>
      <c r="N110" s="10">
        <v>682</v>
      </c>
      <c r="O110" s="127">
        <f t="shared" si="22"/>
        <v>772</v>
      </c>
      <c r="P110" s="127">
        <f t="shared" si="27"/>
        <v>394</v>
      </c>
      <c r="Q110" s="127">
        <f t="shared" si="23"/>
        <v>394</v>
      </c>
      <c r="R110" s="127">
        <f t="shared" si="24"/>
        <v>394</v>
      </c>
      <c r="S110" s="127">
        <f t="shared" si="25"/>
        <v>394</v>
      </c>
      <c r="T110" s="127">
        <f t="shared" si="26"/>
        <v>394</v>
      </c>
    </row>
    <row r="111" spans="1:20" ht="15.75" hidden="1">
      <c r="A111">
        <v>2</v>
      </c>
      <c r="E111" s="117">
        <v>0.7</v>
      </c>
      <c r="F111" s="340" t="e">
        <f t="shared" si="21"/>
        <v>#NAME?</v>
      </c>
      <c r="G111" s="10">
        <v>675</v>
      </c>
      <c r="H111" s="10">
        <v>432</v>
      </c>
      <c r="I111" s="10">
        <v>553</v>
      </c>
      <c r="J111" s="10">
        <v>349</v>
      </c>
      <c r="K111" s="10">
        <v>288</v>
      </c>
      <c r="L111" s="10">
        <v>243</v>
      </c>
      <c r="M111" s="10">
        <v>795</v>
      </c>
      <c r="N111" s="10">
        <v>705</v>
      </c>
      <c r="O111" s="127">
        <f t="shared" si="22"/>
        <v>795</v>
      </c>
      <c r="P111" s="127">
        <f t="shared" si="27"/>
        <v>432</v>
      </c>
      <c r="Q111" s="127">
        <f t="shared" si="23"/>
        <v>553</v>
      </c>
      <c r="R111" s="127">
        <f t="shared" si="24"/>
        <v>553</v>
      </c>
      <c r="S111" s="127">
        <f t="shared" si="25"/>
        <v>553</v>
      </c>
      <c r="T111" s="127">
        <f t="shared" si="26"/>
        <v>553</v>
      </c>
    </row>
    <row r="112" spans="1:20" ht="15.75" hidden="1">
      <c r="A112">
        <v>2</v>
      </c>
      <c r="E112" s="117">
        <v>0.8</v>
      </c>
      <c r="F112" s="340" t="e">
        <f t="shared" si="21"/>
        <v>#NAME?</v>
      </c>
      <c r="G112" s="10">
        <v>810</v>
      </c>
      <c r="H112" s="10">
        <v>522</v>
      </c>
      <c r="I112" s="10">
        <v>599</v>
      </c>
      <c r="J112" s="10">
        <v>515</v>
      </c>
      <c r="K112" s="10">
        <v>425</v>
      </c>
      <c r="L112" s="10">
        <v>273</v>
      </c>
      <c r="M112" s="10">
        <v>841</v>
      </c>
      <c r="N112" s="10">
        <v>720</v>
      </c>
      <c r="O112" s="127">
        <f t="shared" si="22"/>
        <v>841</v>
      </c>
      <c r="P112" s="127">
        <f t="shared" si="27"/>
        <v>522</v>
      </c>
      <c r="Q112" s="127">
        <f t="shared" si="23"/>
        <v>599</v>
      </c>
      <c r="R112" s="127">
        <f t="shared" si="24"/>
        <v>599</v>
      </c>
      <c r="S112" s="127">
        <f t="shared" si="25"/>
        <v>599</v>
      </c>
      <c r="T112" s="127">
        <f t="shared" si="26"/>
        <v>599</v>
      </c>
    </row>
    <row r="113" spans="1:20" ht="15.75" hidden="1">
      <c r="A113">
        <v>2</v>
      </c>
      <c r="E113" s="117">
        <v>1</v>
      </c>
      <c r="F113" s="340" t="e">
        <f t="shared" si="21"/>
        <v>#NAME?</v>
      </c>
      <c r="G113" s="10">
        <v>1008</v>
      </c>
      <c r="H113" s="10">
        <v>659</v>
      </c>
      <c r="I113" s="10">
        <v>621</v>
      </c>
      <c r="J113" s="10">
        <v>500</v>
      </c>
      <c r="K113" s="10">
        <v>470</v>
      </c>
      <c r="L113" s="10">
        <v>273</v>
      </c>
      <c r="M113" s="10">
        <v>894</v>
      </c>
      <c r="N113" s="10">
        <v>743</v>
      </c>
      <c r="O113" s="127">
        <f t="shared" si="22"/>
        <v>894</v>
      </c>
      <c r="P113" s="127">
        <f t="shared" si="27"/>
        <v>659</v>
      </c>
      <c r="Q113" s="127">
        <f t="shared" si="23"/>
        <v>621</v>
      </c>
      <c r="R113" s="127">
        <f t="shared" si="24"/>
        <v>621</v>
      </c>
      <c r="S113" s="127">
        <f t="shared" si="25"/>
        <v>621</v>
      </c>
      <c r="T113" s="127">
        <f t="shared" si="26"/>
        <v>621</v>
      </c>
    </row>
    <row r="114" spans="1:20" ht="15.75" hidden="1">
      <c r="A114">
        <v>2</v>
      </c>
      <c r="E114" s="117">
        <v>1.1</v>
      </c>
      <c r="F114" s="340" t="e">
        <f t="shared" si="21"/>
        <v>#NAME?</v>
      </c>
      <c r="G114" s="368">
        <v>1129</v>
      </c>
      <c r="H114" s="369">
        <v>750</v>
      </c>
      <c r="I114" s="10">
        <v>651</v>
      </c>
      <c r="J114" s="10">
        <v>500</v>
      </c>
      <c r="K114" s="10">
        <v>484</v>
      </c>
      <c r="L114" s="10">
        <v>288</v>
      </c>
      <c r="M114" s="10">
        <v>932</v>
      </c>
      <c r="N114" s="10">
        <v>765</v>
      </c>
      <c r="O114" s="127">
        <f t="shared" si="22"/>
        <v>932</v>
      </c>
      <c r="P114" s="127">
        <f t="shared" si="27"/>
        <v>750</v>
      </c>
      <c r="Q114" s="127">
        <f t="shared" si="23"/>
        <v>651</v>
      </c>
      <c r="R114" s="127">
        <f t="shared" si="24"/>
        <v>651</v>
      </c>
      <c r="S114" s="127">
        <f t="shared" si="25"/>
        <v>651</v>
      </c>
      <c r="T114" s="127">
        <f t="shared" si="26"/>
        <v>651</v>
      </c>
    </row>
    <row r="115" spans="1:20" ht="16.5" hidden="1" thickBot="1">
      <c r="A115">
        <v>2</v>
      </c>
      <c r="E115" s="118">
        <v>1.2</v>
      </c>
      <c r="F115" s="340" t="e">
        <f t="shared" si="21"/>
        <v>#NAME?</v>
      </c>
      <c r="G115" s="10">
        <v>1166</v>
      </c>
      <c r="H115" s="10">
        <v>772</v>
      </c>
      <c r="I115" s="10">
        <v>727</v>
      </c>
      <c r="J115" s="10">
        <v>508</v>
      </c>
      <c r="K115" s="10">
        <v>500</v>
      </c>
      <c r="L115" s="10">
        <v>288</v>
      </c>
      <c r="M115" s="10">
        <v>939</v>
      </c>
      <c r="N115" s="10">
        <v>772</v>
      </c>
      <c r="O115" s="127">
        <f t="shared" si="22"/>
        <v>939</v>
      </c>
      <c r="P115" s="127">
        <f t="shared" si="27"/>
        <v>772</v>
      </c>
      <c r="Q115" s="127">
        <f t="shared" si="23"/>
        <v>727</v>
      </c>
      <c r="R115" s="127">
        <f t="shared" si="24"/>
        <v>727</v>
      </c>
      <c r="S115" s="127">
        <f t="shared" si="25"/>
        <v>727</v>
      </c>
      <c r="T115" s="127">
        <f t="shared" si="26"/>
        <v>727</v>
      </c>
    </row>
    <row r="116" spans="1:20" s="208" customFormat="1" ht="15.75" hidden="1">
      <c r="A116">
        <v>2</v>
      </c>
      <c r="E116" s="209"/>
      <c r="F116" s="135"/>
      <c r="G116" s="135"/>
      <c r="H116" s="210"/>
      <c r="I116" s="211"/>
      <c r="J116" s="211"/>
      <c r="K116" s="135"/>
      <c r="L116" s="11"/>
      <c r="M116" s="125"/>
      <c r="N116" s="125"/>
      <c r="O116" s="125"/>
      <c r="P116" s="125"/>
      <c r="Q116" s="125"/>
      <c r="R116" s="125"/>
      <c r="S116" s="125"/>
      <c r="T116" s="125"/>
    </row>
    <row r="117" spans="1:20" s="208" customFormat="1" ht="15.75" hidden="1">
      <c r="A117">
        <v>2</v>
      </c>
      <c r="E117" s="209"/>
      <c r="F117" s="135" t="s">
        <v>389</v>
      </c>
      <c r="G117" s="135" t="e">
        <f>LOOKUP(F134,porantvar2,cod06cargosvar2mar11)</f>
        <v>#NAME?</v>
      </c>
      <c r="H117" s="210"/>
      <c r="I117" s="211"/>
      <c r="J117" s="211"/>
      <c r="K117" s="135"/>
      <c r="L117" s="11"/>
      <c r="M117" s="125"/>
      <c r="N117" s="125"/>
      <c r="O117" s="125"/>
      <c r="P117" s="125"/>
      <c r="Q117" s="125"/>
      <c r="R117" s="125"/>
      <c r="S117" s="125"/>
      <c r="T117" s="125"/>
    </row>
    <row r="118" spans="1:20" s="208" customFormat="1" ht="15.75" hidden="1">
      <c r="A118"/>
      <c r="E118" s="209"/>
      <c r="F118" s="135"/>
      <c r="G118" s="135"/>
      <c r="H118" s="210"/>
      <c r="I118" s="211"/>
      <c r="J118" s="211"/>
      <c r="K118" s="135"/>
      <c r="L118" s="11"/>
      <c r="M118" s="125"/>
      <c r="N118" s="125"/>
      <c r="O118" s="125"/>
      <c r="P118" s="125"/>
      <c r="Q118" s="125"/>
      <c r="R118" s="125"/>
      <c r="S118" s="125"/>
      <c r="T118" s="125"/>
    </row>
    <row r="119" spans="1:20" s="208" customFormat="1" ht="15.75" hidden="1">
      <c r="A119"/>
      <c r="E119" s="209"/>
      <c r="F119" s="135"/>
      <c r="G119" s="135"/>
      <c r="H119" s="210"/>
      <c r="I119" s="211"/>
      <c r="J119" s="211"/>
      <c r="K119" s="135"/>
      <c r="L119" s="11"/>
      <c r="M119" s="125"/>
      <c r="N119" s="125"/>
      <c r="O119" s="125"/>
      <c r="P119" s="125"/>
      <c r="Q119" s="125"/>
      <c r="R119" s="125"/>
      <c r="S119" s="125"/>
      <c r="T119" s="125"/>
    </row>
    <row r="120" spans="1:20" s="208" customFormat="1" ht="15.75" hidden="1">
      <c r="A120"/>
      <c r="E120" s="209"/>
      <c r="F120" s="135"/>
      <c r="G120" s="135"/>
      <c r="H120" s="210"/>
      <c r="I120" s="211"/>
      <c r="J120" s="211"/>
      <c r="K120" s="135"/>
      <c r="L120" s="11"/>
      <c r="M120" s="125"/>
      <c r="N120" s="125"/>
      <c r="O120" s="125"/>
      <c r="P120" s="125"/>
      <c r="Q120" s="125"/>
      <c r="R120" s="125"/>
      <c r="S120" s="125"/>
      <c r="T120" s="125"/>
    </row>
    <row r="121" spans="1:16" s="213" customFormat="1" ht="15.75" hidden="1">
      <c r="A121">
        <v>2</v>
      </c>
      <c r="C121" s="209"/>
      <c r="F121" s="135"/>
      <c r="G121" s="125"/>
      <c r="H121" s="68"/>
      <c r="I121" s="68"/>
      <c r="J121" s="135"/>
      <c r="K121" s="11"/>
      <c r="L121" s="125"/>
      <c r="M121" s="125"/>
      <c r="N121" s="125"/>
      <c r="O121" s="125"/>
      <c r="P121" s="125"/>
    </row>
    <row r="122" spans="1:15" ht="12.75">
      <c r="A122" s="225">
        <v>2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</row>
    <row r="123" spans="1:17" ht="20.25">
      <c r="A123" s="225">
        <v>2</v>
      </c>
      <c r="B123" s="150"/>
      <c r="C123" s="155"/>
      <c r="D123" s="155"/>
      <c r="E123" s="73" t="s">
        <v>347</v>
      </c>
      <c r="F123" s="10"/>
      <c r="G123" s="10"/>
      <c r="H123" s="155"/>
      <c r="I123" s="155"/>
      <c r="J123" s="155"/>
      <c r="K123" s="155"/>
      <c r="L123" s="155"/>
      <c r="M123" s="155"/>
      <c r="N123" s="149"/>
      <c r="O123" s="235"/>
      <c r="P123" s="135"/>
      <c r="Q123" s="135"/>
    </row>
    <row r="124" spans="1:17" ht="12.75">
      <c r="A124" s="225">
        <v>2</v>
      </c>
      <c r="B124" s="150"/>
      <c r="C124" s="150"/>
      <c r="D124" s="150"/>
      <c r="E124" s="150"/>
      <c r="F124" s="150"/>
      <c r="G124" s="150"/>
      <c r="H124" s="227"/>
      <c r="I124" s="150"/>
      <c r="J124" s="150"/>
      <c r="K124" s="150"/>
      <c r="L124" s="150"/>
      <c r="M124" s="150"/>
      <c r="N124" s="149"/>
      <c r="O124" s="235"/>
      <c r="P124" s="135"/>
      <c r="Q124" s="135"/>
    </row>
    <row r="125" spans="1:17" ht="12.75">
      <c r="A125" s="225">
        <v>2</v>
      </c>
      <c r="B125" s="225"/>
      <c r="C125" s="225"/>
      <c r="D125" s="37" t="s">
        <v>36</v>
      </c>
      <c r="E125" s="37" t="s">
        <v>316</v>
      </c>
      <c r="F125" s="37" t="s">
        <v>317</v>
      </c>
      <c r="G125" s="37" t="s">
        <v>318</v>
      </c>
      <c r="H125" s="37" t="s">
        <v>319</v>
      </c>
      <c r="I125" s="93" t="s">
        <v>365</v>
      </c>
      <c r="J125" s="402" t="s">
        <v>394</v>
      </c>
      <c r="K125" s="150"/>
      <c r="L125" s="150"/>
      <c r="M125" s="150"/>
      <c r="N125" s="149"/>
      <c r="O125" s="235"/>
      <c r="P125" s="135"/>
      <c r="Q125" s="135"/>
    </row>
    <row r="126" spans="1:17" ht="16.5" thickBot="1">
      <c r="A126" s="225">
        <v>2</v>
      </c>
      <c r="B126" s="225"/>
      <c r="C126" s="225"/>
      <c r="D126" s="109">
        <v>750</v>
      </c>
      <c r="E126" s="74">
        <f>LOOKUP(D126,[0]!numerocargo,[0]!puntosbasicoscargo)</f>
        <v>971</v>
      </c>
      <c r="F126" s="74" t="e">
        <f>LOOKUP(D126,[0]!numerocargo,[0]!tardifcargo)</f>
        <v>#NAME?</v>
      </c>
      <c r="G126" s="74">
        <f>LOOKUP(D126,[0]!numerocargo,[0]!proljorcargo)</f>
        <v>1298</v>
      </c>
      <c r="H126" s="74" t="e">
        <f>LOOKUP(D126,[0]!numerocargo,[0]!jorcomcargo)</f>
        <v>#NAME?</v>
      </c>
      <c r="I126" s="37">
        <f>LOOKUP(D126,Cargos!A1:A337,puntoscompbasico)</f>
        <v>0</v>
      </c>
      <c r="J126" s="401" t="e">
        <f>LOOKUP(D126,Cargos!A1:A337,puntosadicdir)</f>
        <v>#REF!</v>
      </c>
      <c r="K126" s="150"/>
      <c r="L126" s="150"/>
      <c r="M126" s="150"/>
      <c r="N126" s="149"/>
      <c r="O126" s="235"/>
      <c r="P126" s="135"/>
      <c r="Q126" s="135"/>
    </row>
    <row r="127" spans="1:17" ht="13.5" thickBot="1">
      <c r="A127" s="225">
        <v>2</v>
      </c>
      <c r="B127" s="225"/>
      <c r="C127" s="225"/>
      <c r="D127" s="75" t="s">
        <v>37</v>
      </c>
      <c r="E127" s="76" t="str">
        <f>LOOKUP(D126,[0]!numerocargo,[0]!nombrecargo)</f>
        <v> BIBLIOTECARIO</v>
      </c>
      <c r="F127" s="36"/>
      <c r="G127" s="36"/>
      <c r="H127" s="55"/>
      <c r="I127" s="150"/>
      <c r="J127" s="150"/>
      <c r="K127" s="150"/>
      <c r="L127" s="150"/>
      <c r="M127" s="150"/>
      <c r="N127" s="149"/>
      <c r="O127" s="235"/>
      <c r="P127" s="135"/>
      <c r="Q127" s="135"/>
    </row>
    <row r="128" spans="1:17" ht="13.5" thickBot="1">
      <c r="A128" s="225">
        <v>2</v>
      </c>
      <c r="B128" s="225"/>
      <c r="C128" s="225"/>
      <c r="D128" s="226"/>
      <c r="E128" s="227"/>
      <c r="F128" s="150"/>
      <c r="G128" s="150"/>
      <c r="H128" s="150"/>
      <c r="I128" s="120" t="s">
        <v>339</v>
      </c>
      <c r="J128" s="233"/>
      <c r="K128" s="233"/>
      <c r="L128" s="233"/>
      <c r="M128" s="150"/>
      <c r="N128" s="150"/>
      <c r="O128" s="150"/>
      <c r="P128" s="10"/>
      <c r="Q128" s="10"/>
    </row>
    <row r="129" spans="1:17" ht="19.5" thickBot="1" thickTop="1">
      <c r="A129" s="225">
        <v>2</v>
      </c>
      <c r="B129" s="225"/>
      <c r="C129" s="225"/>
      <c r="D129" s="136" t="s">
        <v>333</v>
      </c>
      <c r="E129" s="114"/>
      <c r="F129" s="114"/>
      <c r="G129" s="114"/>
      <c r="H129" s="137">
        <v>42</v>
      </c>
      <c r="I129" s="121">
        <f>H129/120</f>
        <v>0.35</v>
      </c>
      <c r="J129" s="227"/>
      <c r="K129" s="227"/>
      <c r="L129" s="227"/>
      <c r="M129" s="150"/>
      <c r="N129" s="150"/>
      <c r="O129" s="150"/>
      <c r="P129" s="10"/>
      <c r="Q129" s="10"/>
    </row>
    <row r="130" spans="1:17" ht="17.25" thickBot="1" thickTop="1">
      <c r="A130" s="225">
        <v>2</v>
      </c>
      <c r="B130" s="226"/>
      <c r="C130" s="227"/>
      <c r="D130" s="150"/>
      <c r="E130" s="150"/>
      <c r="F130" s="314"/>
      <c r="G130" s="150"/>
      <c r="H130" s="409"/>
      <c r="I130" s="150"/>
      <c r="J130" s="150"/>
      <c r="K130" s="150"/>
      <c r="L130" s="150"/>
      <c r="M130" s="150"/>
      <c r="N130" s="150"/>
      <c r="O130" s="150"/>
      <c r="P130" s="10"/>
      <c r="Q130" s="10"/>
    </row>
    <row r="131" spans="1:17" ht="17.25" thickBot="1" thickTop="1">
      <c r="A131" s="225">
        <v>2</v>
      </c>
      <c r="B131" s="226"/>
      <c r="C131" s="225"/>
      <c r="D131" s="112" t="s">
        <v>341</v>
      </c>
      <c r="E131" s="123">
        <v>0</v>
      </c>
      <c r="F131" s="314"/>
      <c r="G131" s="150"/>
      <c r="H131" s="227"/>
      <c r="I131" s="150"/>
      <c r="J131" s="150"/>
      <c r="K131" s="150"/>
      <c r="L131" s="150"/>
      <c r="M131" s="150"/>
      <c r="N131" s="150"/>
      <c r="O131" s="150"/>
      <c r="P131" s="10"/>
      <c r="Q131" s="10"/>
    </row>
    <row r="132" spans="1:17" ht="14.25" thickBot="1" thickTop="1">
      <c r="A132" s="225">
        <v>2</v>
      </c>
      <c r="B132" s="226"/>
      <c r="C132" s="227"/>
      <c r="D132" s="150"/>
      <c r="E132" s="150"/>
      <c r="F132" s="150"/>
      <c r="G132" s="150"/>
      <c r="H132" s="227"/>
      <c r="I132" s="150"/>
      <c r="J132" s="150"/>
      <c r="K132" s="150"/>
      <c r="L132" s="150"/>
      <c r="M132" s="150"/>
      <c r="N132" s="150"/>
      <c r="O132" s="150"/>
      <c r="P132" s="10"/>
      <c r="Q132" s="10"/>
    </row>
    <row r="133" spans="1:17" ht="16.5" thickBot="1">
      <c r="A133" s="225">
        <v>2</v>
      </c>
      <c r="B133" s="150"/>
      <c r="C133" s="155"/>
      <c r="D133" s="77" t="s">
        <v>13</v>
      </c>
      <c r="E133" s="36"/>
      <c r="F133" s="78" t="e">
        <f>E126*indicesep2010</f>
        <v>#NAME?</v>
      </c>
      <c r="G133" s="155"/>
      <c r="H133" s="155"/>
      <c r="I133" s="155"/>
      <c r="J133" s="155"/>
      <c r="K133" s="155"/>
      <c r="L133" s="155"/>
      <c r="M133" s="154"/>
      <c r="N133" s="154"/>
      <c r="O133" s="155"/>
      <c r="P133" s="10"/>
      <c r="Q133" s="10"/>
    </row>
    <row r="134" spans="1:17" ht="16.5" thickBot="1">
      <c r="A134" s="225">
        <v>2</v>
      </c>
      <c r="B134" s="150"/>
      <c r="C134" s="155"/>
      <c r="D134" s="151" t="s">
        <v>14</v>
      </c>
      <c r="E134" s="152"/>
      <c r="F134" s="153">
        <v>1.2</v>
      </c>
      <c r="G134" s="67" t="s">
        <v>15</v>
      </c>
      <c r="H134" s="67"/>
      <c r="I134" s="155"/>
      <c r="J134" s="155"/>
      <c r="K134" s="155"/>
      <c r="L134" s="155"/>
      <c r="M134" s="155"/>
      <c r="N134" s="154"/>
      <c r="O134" s="155"/>
      <c r="P134" s="10"/>
      <c r="Q134" s="10"/>
    </row>
    <row r="135" spans="1:17" ht="15.75">
      <c r="A135" s="225">
        <v>2</v>
      </c>
      <c r="B135" s="150"/>
      <c r="C135" s="155"/>
      <c r="D135" s="150"/>
      <c r="E135" s="150"/>
      <c r="F135" s="410"/>
      <c r="G135" s="155"/>
      <c r="H135" s="155"/>
      <c r="I135" s="155"/>
      <c r="J135" s="155"/>
      <c r="K135" s="155"/>
      <c r="L135" s="155"/>
      <c r="M135" s="155"/>
      <c r="N135" s="156"/>
      <c r="O135" s="155"/>
      <c r="P135" s="10"/>
      <c r="Q135" s="10"/>
    </row>
    <row r="136" spans="1:17" ht="18.75" hidden="1" thickBot="1">
      <c r="A136" s="225">
        <v>2</v>
      </c>
      <c r="B136" s="150"/>
      <c r="C136" s="155"/>
      <c r="D136" s="80" t="s">
        <v>16</v>
      </c>
      <c r="E136" s="80"/>
      <c r="F136" s="81">
        <f>E126</f>
        <v>971</v>
      </c>
      <c r="G136" s="10" t="s">
        <v>17</v>
      </c>
      <c r="H136" s="155"/>
      <c r="I136" s="79" t="e">
        <f>H126+G126</f>
        <v>#NAME?</v>
      </c>
      <c r="J136" s="154"/>
      <c r="K136" s="154"/>
      <c r="L136" s="154"/>
      <c r="M136" s="150"/>
      <c r="N136" s="155"/>
      <c r="O136" s="155"/>
      <c r="P136" s="10"/>
      <c r="Q136" s="10"/>
    </row>
    <row r="137" spans="1:17" ht="15.75" hidden="1">
      <c r="A137" s="225">
        <v>2</v>
      </c>
      <c r="B137" s="150"/>
      <c r="C137" s="155"/>
      <c r="D137" s="2"/>
      <c r="E137" s="2"/>
      <c r="F137" s="140"/>
      <c r="G137" s="155"/>
      <c r="H137" s="155"/>
      <c r="I137" s="150"/>
      <c r="J137" s="150"/>
      <c r="K137" s="150"/>
      <c r="L137" s="150"/>
      <c r="M137" s="312"/>
      <c r="N137" s="155"/>
      <c r="O137" s="155"/>
      <c r="P137" s="10"/>
      <c r="Q137" s="10"/>
    </row>
    <row r="138" spans="1:15" ht="15.75" hidden="1">
      <c r="A138" s="225">
        <v>2</v>
      </c>
      <c r="B138" s="150"/>
      <c r="C138" s="155"/>
      <c r="D138" s="10"/>
      <c r="E138" s="128" t="s">
        <v>384</v>
      </c>
      <c r="F138" s="10"/>
      <c r="G138" s="133"/>
      <c r="H138" s="10"/>
      <c r="I138" s="128" t="s">
        <v>385</v>
      </c>
      <c r="J138" s="10"/>
      <c r="K138" s="225"/>
      <c r="L138" s="11"/>
      <c r="M138" s="384"/>
      <c r="N138" s="11"/>
      <c r="O138" s="225"/>
    </row>
    <row r="139" spans="1:15" ht="12.75" hidden="1">
      <c r="A139" s="225">
        <v>2</v>
      </c>
      <c r="B139" s="150"/>
      <c r="C139" s="225"/>
      <c r="D139" s="17">
        <v>400</v>
      </c>
      <c r="E139" s="17" t="s">
        <v>18</v>
      </c>
      <c r="F139" s="82" t="e">
        <f>punbasjubvarios2*indicesep2010*porjubvarcar*frac2</f>
        <v>#NAME?</v>
      </c>
      <c r="G139" s="225"/>
      <c r="H139" s="17">
        <v>400</v>
      </c>
      <c r="I139" s="17" t="s">
        <v>18</v>
      </c>
      <c r="J139" s="82" t="e">
        <f>punbasjubvarios2*indicemar2011*porjubvarcar*frac2</f>
        <v>#NAME?</v>
      </c>
      <c r="K139" s="225"/>
      <c r="L139" s="11"/>
      <c r="M139" s="11"/>
      <c r="N139" s="385"/>
      <c r="O139" s="225"/>
    </row>
    <row r="140" spans="1:15" ht="12.75" hidden="1">
      <c r="A140" s="225">
        <v>2</v>
      </c>
      <c r="B140" s="150"/>
      <c r="C140" s="225"/>
      <c r="D140" s="17">
        <v>542</v>
      </c>
      <c r="E140" s="17" t="s">
        <v>370</v>
      </c>
      <c r="F140" s="195" t="e">
        <f>compbasicovarios2*indicesep2010*porjubvarcar*frac2</f>
        <v>#NAME?</v>
      </c>
      <c r="G140" s="225"/>
      <c r="H140" s="17">
        <v>542</v>
      </c>
      <c r="I140" s="17" t="s">
        <v>370</v>
      </c>
      <c r="J140" s="195" t="e">
        <f>compbasicovarios2*indicemar2011*porjubvarcar*frac2</f>
        <v>#NAME?</v>
      </c>
      <c r="K140" s="225"/>
      <c r="L140" s="11"/>
      <c r="M140" s="11"/>
      <c r="N140" s="385"/>
      <c r="O140" s="225"/>
    </row>
    <row r="141" spans="1:15" ht="12.75" hidden="1">
      <c r="A141" s="225"/>
      <c r="B141" s="150"/>
      <c r="C141" s="225"/>
      <c r="D141" s="370"/>
      <c r="E141" s="370"/>
      <c r="F141" s="403"/>
      <c r="G141" s="225"/>
      <c r="H141" s="375" t="s">
        <v>383</v>
      </c>
      <c r="I141" s="376" t="s">
        <v>382</v>
      </c>
      <c r="J141" s="400" t="e">
        <f>adicdirvarios2*indicemar2011*porjubvarcar*frac2</f>
        <v>#REF!</v>
      </c>
      <c r="K141" s="225"/>
      <c r="L141" s="11"/>
      <c r="M141" s="11"/>
      <c r="N141" s="385"/>
      <c r="O141" s="225"/>
    </row>
    <row r="142" spans="1:14" ht="12.75" hidden="1">
      <c r="A142" s="225">
        <v>2</v>
      </c>
      <c r="B142" s="150"/>
      <c r="C142" s="225"/>
      <c r="D142" s="17">
        <v>404</v>
      </c>
      <c r="E142" s="17" t="s">
        <v>321</v>
      </c>
      <c r="F142" s="82" t="e">
        <f>puntardifvar2*indicesep2010*porjubvarcar*frac2</f>
        <v>#NAME?</v>
      </c>
      <c r="G142" s="225"/>
      <c r="H142" s="17">
        <v>404</v>
      </c>
      <c r="I142" s="17" t="s">
        <v>321</v>
      </c>
      <c r="J142" s="82" t="e">
        <f>puntardifvar2*indicemar2011*porjubvarcar*frac2</f>
        <v>#NAME?</v>
      </c>
      <c r="L142" s="11"/>
      <c r="M142" s="11"/>
      <c r="N142" s="385"/>
    </row>
    <row r="143" spans="1:14" ht="12.75" hidden="1">
      <c r="A143" s="225">
        <v>2</v>
      </c>
      <c r="B143" s="150"/>
      <c r="C143" s="225"/>
      <c r="D143" s="17">
        <v>406</v>
      </c>
      <c r="E143" s="17" t="s">
        <v>19</v>
      </c>
      <c r="F143" s="82" t="e">
        <f>(F139+F140+F142+F145)*F134</f>
        <v>#NAME?</v>
      </c>
      <c r="G143" s="225"/>
      <c r="H143" s="17">
        <v>406</v>
      </c>
      <c r="I143" s="17" t="s">
        <v>19</v>
      </c>
      <c r="J143" s="82" t="e">
        <f>(J139+J140+J142+J145)*F134</f>
        <v>#NAME?</v>
      </c>
      <c r="L143" s="11"/>
      <c r="M143" s="11"/>
      <c r="N143" s="385"/>
    </row>
    <row r="144" spans="1:14" ht="12.75" hidden="1">
      <c r="A144" s="225">
        <v>2</v>
      </c>
      <c r="B144" s="150"/>
      <c r="C144" s="225"/>
      <c r="D144" s="17">
        <v>408</v>
      </c>
      <c r="E144" s="17" t="s">
        <v>340</v>
      </c>
      <c r="F144" s="82" t="e">
        <f>(F139+F140+F142+F145)*E131</f>
        <v>#NAME?</v>
      </c>
      <c r="G144" s="225"/>
      <c r="H144" s="17">
        <v>408</v>
      </c>
      <c r="I144" s="17" t="s">
        <v>340</v>
      </c>
      <c r="J144" s="82" t="e">
        <f>(J139+J140+J142+J145)*E131</f>
        <v>#NAME?</v>
      </c>
      <c r="L144" s="11"/>
      <c r="M144" s="11"/>
      <c r="N144" s="385"/>
    </row>
    <row r="145" spans="1:14" ht="12.75" hidden="1">
      <c r="A145" s="225">
        <v>2</v>
      </c>
      <c r="B145" s="150"/>
      <c r="C145" s="225"/>
      <c r="D145" s="17">
        <v>416</v>
      </c>
      <c r="E145" s="83" t="s">
        <v>322</v>
      </c>
      <c r="F145" s="82" t="e">
        <f>puntosproljorvarios2*proljorsep2010*porjubvarcar*frac2</f>
        <v>#NAME?</v>
      </c>
      <c r="G145" s="225"/>
      <c r="H145" s="17">
        <v>416</v>
      </c>
      <c r="I145" s="83" t="s">
        <v>322</v>
      </c>
      <c r="J145" s="82" t="e">
        <f>puntosproljorvarios2*proljormar2011*porjubvarcar*frac2</f>
        <v>#NAME?</v>
      </c>
      <c r="L145" s="11"/>
      <c r="M145" s="399"/>
      <c r="N145" s="385"/>
    </row>
    <row r="146" spans="1:14" ht="12.75" hidden="1">
      <c r="A146" s="225">
        <v>2</v>
      </c>
      <c r="B146" s="150"/>
      <c r="C146" s="225"/>
      <c r="D146" s="17">
        <v>432</v>
      </c>
      <c r="E146" s="17" t="s">
        <v>338</v>
      </c>
      <c r="F146" s="82" t="e">
        <f>cod06feb11varios2*porjubvarcar*frac2</f>
        <v>#NAME?</v>
      </c>
      <c r="G146" s="225"/>
      <c r="H146" s="17">
        <v>432</v>
      </c>
      <c r="I146" s="17" t="s">
        <v>338</v>
      </c>
      <c r="J146" s="82" t="e">
        <f>cod06mar11varios2*porjubvarcar*frac2</f>
        <v>#NAME?</v>
      </c>
      <c r="L146" s="11"/>
      <c r="M146" s="11"/>
      <c r="N146" s="385"/>
    </row>
    <row r="147" spans="1:14" ht="12.75" hidden="1">
      <c r="A147" s="225">
        <v>2</v>
      </c>
      <c r="B147" s="150"/>
      <c r="C147" s="225"/>
      <c r="D147" s="17">
        <v>434</v>
      </c>
      <c r="E147" s="17" t="s">
        <v>320</v>
      </c>
      <c r="F147" s="82" t="e">
        <f>(F139+F140+F142+F143+F145+F146+F144)*0.07*0.95</f>
        <v>#NAME?</v>
      </c>
      <c r="G147" s="225"/>
      <c r="H147" s="17">
        <v>434</v>
      </c>
      <c r="I147" s="17" t="s">
        <v>320</v>
      </c>
      <c r="J147" s="82" t="e">
        <f>(J139+J140+J142+J143+J145+J146+J144)*0.07*0.95</f>
        <v>#NAME?</v>
      </c>
      <c r="L147" s="11"/>
      <c r="M147" s="11"/>
      <c r="N147" s="385"/>
    </row>
    <row r="148" spans="1:14" ht="12.75" hidden="1">
      <c r="A148" s="225">
        <v>2</v>
      </c>
      <c r="B148" s="150"/>
      <c r="C148" s="225"/>
      <c r="D148" s="17"/>
      <c r="E148" s="84"/>
      <c r="F148" s="141"/>
      <c r="G148" s="225"/>
      <c r="H148" s="17"/>
      <c r="I148" s="84"/>
      <c r="J148" s="141"/>
      <c r="L148" s="11"/>
      <c r="M148" s="11"/>
      <c r="N148" s="385"/>
    </row>
    <row r="149" spans="1:14" ht="13.5" hidden="1" thickBot="1">
      <c r="A149" s="225">
        <v>2</v>
      </c>
      <c r="B149" s="150"/>
      <c r="C149" s="225"/>
      <c r="D149" s="17"/>
      <c r="E149" s="84" t="s">
        <v>336</v>
      </c>
      <c r="F149" s="110">
        <v>0</v>
      </c>
      <c r="G149" s="225"/>
      <c r="H149" s="17"/>
      <c r="I149" s="84" t="s">
        <v>336</v>
      </c>
      <c r="J149" s="110">
        <v>0</v>
      </c>
      <c r="L149" s="11"/>
      <c r="M149" s="11"/>
      <c r="N149" s="395"/>
    </row>
    <row r="150" spans="1:14" ht="16.5" hidden="1" thickBot="1">
      <c r="A150" s="225">
        <v>2</v>
      </c>
      <c r="B150" s="150"/>
      <c r="C150" s="225"/>
      <c r="D150" s="85"/>
      <c r="E150" s="86" t="s">
        <v>20</v>
      </c>
      <c r="F150" s="87" t="e">
        <f>SUM(F139:F149)</f>
        <v>#NAME?</v>
      </c>
      <c r="G150" s="225"/>
      <c r="H150" s="85"/>
      <c r="I150" s="86" t="s">
        <v>20</v>
      </c>
      <c r="J150" s="87" t="e">
        <f>SUM(J139:J149)</f>
        <v>#NAME?</v>
      </c>
      <c r="L150" s="11"/>
      <c r="M150" s="68"/>
      <c r="N150" s="393"/>
    </row>
    <row r="151" spans="1:14" ht="12.75" hidden="1">
      <c r="A151" s="225">
        <v>2</v>
      </c>
      <c r="B151" s="150"/>
      <c r="C151" s="225"/>
      <c r="D151" s="17">
        <v>703</v>
      </c>
      <c r="E151" s="88" t="s">
        <v>323</v>
      </c>
      <c r="F151" s="89" t="e">
        <f>(F150-F149)*0.0025</f>
        <v>#NAME?</v>
      </c>
      <c r="G151" s="225"/>
      <c r="H151" s="17">
        <v>703</v>
      </c>
      <c r="I151" s="88" t="s">
        <v>323</v>
      </c>
      <c r="J151" s="89" t="e">
        <f>(J150-J149)*0.0025</f>
        <v>#NAME?</v>
      </c>
      <c r="L151" s="11"/>
      <c r="M151" s="388"/>
      <c r="N151" s="389"/>
    </row>
    <row r="152" spans="1:14" ht="12.75" hidden="1">
      <c r="A152" s="225">
        <v>2</v>
      </c>
      <c r="B152" s="150"/>
      <c r="C152" s="225"/>
      <c r="D152" s="18">
        <v>707</v>
      </c>
      <c r="E152" s="90" t="s">
        <v>22</v>
      </c>
      <c r="F152" s="16" t="e">
        <f>(F150-F149)*0.03</f>
        <v>#NAME?</v>
      </c>
      <c r="G152" s="225"/>
      <c r="H152" s="18">
        <v>707</v>
      </c>
      <c r="I152" s="90" t="s">
        <v>22</v>
      </c>
      <c r="J152" s="16" t="e">
        <f>(J150-J149)*0.03</f>
        <v>#NAME?</v>
      </c>
      <c r="L152" s="11"/>
      <c r="M152" s="382"/>
      <c r="N152" s="389"/>
    </row>
    <row r="153" spans="1:14" ht="12.75" hidden="1">
      <c r="A153" s="225">
        <v>2</v>
      </c>
      <c r="B153" s="150"/>
      <c r="C153" s="225"/>
      <c r="D153" s="18">
        <v>709</v>
      </c>
      <c r="E153" s="90" t="s">
        <v>23</v>
      </c>
      <c r="F153" s="16" t="e">
        <f>(F150-F149)*0.0213</f>
        <v>#NAME?</v>
      </c>
      <c r="G153" s="225"/>
      <c r="H153" s="18">
        <v>709</v>
      </c>
      <c r="I153" s="90" t="s">
        <v>23</v>
      </c>
      <c r="J153" s="16" t="e">
        <f>(J150-J149)*0.0213</f>
        <v>#NAME?</v>
      </c>
      <c r="L153" s="11"/>
      <c r="M153" s="382"/>
      <c r="N153" s="389"/>
    </row>
    <row r="154" spans="1:14" ht="12.75" hidden="1">
      <c r="A154" s="225">
        <v>2</v>
      </c>
      <c r="B154" s="150"/>
      <c r="C154" s="225"/>
      <c r="D154" s="15">
        <v>710</v>
      </c>
      <c r="E154" s="90" t="s">
        <v>24</v>
      </c>
      <c r="F154" s="16" t="e">
        <f>(F150-F149)*0.00754</f>
        <v>#NAME?</v>
      </c>
      <c r="G154" s="225"/>
      <c r="H154" s="15">
        <v>710</v>
      </c>
      <c r="I154" s="90" t="s">
        <v>24</v>
      </c>
      <c r="J154" s="16" t="e">
        <f>(J150-J149)*0.00754</f>
        <v>#NAME?</v>
      </c>
      <c r="L154" s="382"/>
      <c r="M154" s="382"/>
      <c r="N154" s="389"/>
    </row>
    <row r="155" spans="1:14" ht="12.75" hidden="1">
      <c r="A155" s="225">
        <v>2</v>
      </c>
      <c r="B155" s="150"/>
      <c r="C155" s="225"/>
      <c r="D155" s="15">
        <v>713</v>
      </c>
      <c r="E155" s="90" t="s">
        <v>25</v>
      </c>
      <c r="F155" s="16" t="e">
        <f>(F150-F149)*0.007</f>
        <v>#NAME?</v>
      </c>
      <c r="G155" s="225"/>
      <c r="H155" s="15">
        <v>713</v>
      </c>
      <c r="I155" s="90" t="s">
        <v>25</v>
      </c>
      <c r="J155" s="16" t="e">
        <f>(J150-J149)*0.007</f>
        <v>#NAME?</v>
      </c>
      <c r="L155" s="382"/>
      <c r="M155" s="382"/>
      <c r="N155" s="389"/>
    </row>
    <row r="156" spans="1:14" ht="13.5" hidden="1" thickBot="1">
      <c r="A156" s="225">
        <v>2</v>
      </c>
      <c r="B156" s="150"/>
      <c r="C156" s="225"/>
      <c r="D156" s="15"/>
      <c r="E156" s="91" t="s">
        <v>26</v>
      </c>
      <c r="F156" s="41">
        <v>0</v>
      </c>
      <c r="G156" s="225"/>
      <c r="H156" s="15"/>
      <c r="I156" s="91" t="s">
        <v>26</v>
      </c>
      <c r="J156" s="41">
        <v>0</v>
      </c>
      <c r="L156" s="382"/>
      <c r="M156" s="382"/>
      <c r="N156" s="396"/>
    </row>
    <row r="157" spans="1:14" ht="16.5" hidden="1" thickBot="1">
      <c r="A157" s="225">
        <v>2</v>
      </c>
      <c r="B157" s="150"/>
      <c r="C157" s="225"/>
      <c r="D157" s="92"/>
      <c r="E157" s="86" t="s">
        <v>27</v>
      </c>
      <c r="F157" s="87" t="e">
        <f>SUM(F151:F156)</f>
        <v>#NAME?</v>
      </c>
      <c r="G157" s="225"/>
      <c r="H157" s="92"/>
      <c r="I157" s="86" t="s">
        <v>27</v>
      </c>
      <c r="J157" s="87" t="e">
        <f>SUM(J151:J156)</f>
        <v>#NAME?</v>
      </c>
      <c r="L157" s="11"/>
      <c r="M157" s="68"/>
      <c r="N157" s="393"/>
    </row>
    <row r="158" spans="1:14" ht="13.5" hidden="1" thickBot="1">
      <c r="A158" s="225">
        <v>2</v>
      </c>
      <c r="B158" s="150"/>
      <c r="C158" s="225"/>
      <c r="D158" s="93"/>
      <c r="E158" s="94"/>
      <c r="F158" s="95"/>
      <c r="G158" s="225"/>
      <c r="H158" s="93"/>
      <c r="I158" s="94"/>
      <c r="J158" s="95"/>
      <c r="L158" s="68"/>
      <c r="M158" s="11"/>
      <c r="N158" s="397"/>
    </row>
    <row r="159" spans="1:14" ht="16.5" hidden="1" thickBot="1">
      <c r="A159" s="225">
        <v>2</v>
      </c>
      <c r="B159" s="155"/>
      <c r="C159" s="225"/>
      <c r="D159" s="96"/>
      <c r="E159" s="97" t="s">
        <v>28</v>
      </c>
      <c r="F159" s="98" t="e">
        <f>F150-F157</f>
        <v>#NAME?</v>
      </c>
      <c r="G159" s="225"/>
      <c r="H159" s="96"/>
      <c r="I159" s="97" t="s">
        <v>28</v>
      </c>
      <c r="J159" s="98" t="e">
        <f>J150-J157</f>
        <v>#NAME?</v>
      </c>
      <c r="L159" s="217"/>
      <c r="M159" s="392"/>
      <c r="N159" s="398"/>
    </row>
    <row r="160" spans="1:14" s="215" customFormat="1" ht="15.75" hidden="1">
      <c r="A160" s="225">
        <v>2</v>
      </c>
      <c r="B160" s="150"/>
      <c r="C160" s="150"/>
      <c r="D160" s="2"/>
      <c r="E160" s="216"/>
      <c r="F160" s="2"/>
      <c r="G160" s="150"/>
      <c r="H160" s="2"/>
      <c r="I160" s="216"/>
      <c r="J160" s="2"/>
      <c r="L160" s="2"/>
      <c r="M160" s="216"/>
      <c r="N160" s="2"/>
    </row>
    <row r="161" spans="1:16" ht="15.75" hidden="1">
      <c r="A161" s="225">
        <v>2</v>
      </c>
      <c r="B161" s="155"/>
      <c r="C161" s="155"/>
      <c r="D161" s="4"/>
      <c r="E161" s="174"/>
      <c r="F161" s="176"/>
      <c r="G161" s="155"/>
      <c r="H161" s="4"/>
      <c r="I161" s="174"/>
      <c r="J161" s="176"/>
      <c r="K161" s="208"/>
      <c r="L161" s="4"/>
      <c r="M161" s="174"/>
      <c r="N161" s="176"/>
      <c r="O161" s="221"/>
      <c r="P161" s="222"/>
    </row>
    <row r="162" spans="1:17" ht="15.75" hidden="1">
      <c r="A162" s="225"/>
      <c r="B162" s="155"/>
      <c r="C162" s="228"/>
      <c r="D162" s="229"/>
      <c r="E162" s="230"/>
      <c r="F162" s="155"/>
      <c r="G162" s="228"/>
      <c r="H162" s="231"/>
      <c r="I162" s="232"/>
      <c r="J162" s="232"/>
      <c r="K162" s="232"/>
      <c r="L162" s="232"/>
      <c r="M162" s="155"/>
      <c r="N162" s="227"/>
      <c r="O162" s="150"/>
      <c r="P162" s="67"/>
      <c r="Q162" s="67"/>
    </row>
    <row r="163" ht="12.75" hidden="1"/>
    <row r="164" spans="3:16" s="213" customFormat="1" ht="15.75" hidden="1">
      <c r="C164" s="209"/>
      <c r="F164" s="135"/>
      <c r="G164" s="125"/>
      <c r="H164" s="212"/>
      <c r="I164" s="68"/>
      <c r="J164" s="212"/>
      <c r="K164" s="214"/>
      <c r="L164" s="11"/>
      <c r="M164" s="125"/>
      <c r="N164" s="125"/>
      <c r="O164" s="125"/>
      <c r="P164" s="125"/>
    </row>
    <row r="165" s="213" customFormat="1" ht="12.75" hidden="1"/>
    <row r="166" s="213" customFormat="1" ht="12.75" hidden="1"/>
    <row r="167" spans="1:20" ht="16.5" hidden="1" thickBot="1">
      <c r="A167">
        <v>3</v>
      </c>
      <c r="F167" t="s">
        <v>354</v>
      </c>
      <c r="G167" s="10" t="s">
        <v>356</v>
      </c>
      <c r="H167" s="10" t="s">
        <v>357</v>
      </c>
      <c r="I167" s="124" t="s">
        <v>358</v>
      </c>
      <c r="J167" s="124" t="s">
        <v>359</v>
      </c>
      <c r="K167" s="124" t="s">
        <v>360</v>
      </c>
      <c r="L167" s="124" t="s">
        <v>361</v>
      </c>
      <c r="M167" s="124" t="s">
        <v>362</v>
      </c>
      <c r="N167" s="124" t="s">
        <v>363</v>
      </c>
      <c r="O167" s="126" t="s">
        <v>364</v>
      </c>
      <c r="P167" s="126">
        <v>1</v>
      </c>
      <c r="Q167" s="126">
        <v>2</v>
      </c>
      <c r="R167" s="126">
        <v>3</v>
      </c>
      <c r="S167" s="126">
        <v>4</v>
      </c>
      <c r="T167" s="126">
        <v>5</v>
      </c>
    </row>
    <row r="168" spans="1:20" ht="15.75" hidden="1">
      <c r="A168">
        <v>3</v>
      </c>
      <c r="E168" s="115">
        <v>0</v>
      </c>
      <c r="F168" s="340" t="e">
        <f aca="true" t="shared" si="28" ref="F168:F179">IF(puntosproljorvarios3&lt;620,T168,O168)</f>
        <v>#NAME?</v>
      </c>
      <c r="G168" s="334">
        <v>409</v>
      </c>
      <c r="H168" s="334">
        <v>99</v>
      </c>
      <c r="I168" s="334">
        <v>0</v>
      </c>
      <c r="J168" s="334">
        <v>0</v>
      </c>
      <c r="K168" s="334">
        <v>0</v>
      </c>
      <c r="L168" s="334">
        <v>0</v>
      </c>
      <c r="M168" s="334">
        <v>99</v>
      </c>
      <c r="N168" s="334">
        <v>99</v>
      </c>
      <c r="O168" s="127">
        <f aca="true" t="shared" si="29" ref="O168:O179">IF(punbasjubvarios3&gt;971,N168,M168)</f>
        <v>99</v>
      </c>
      <c r="P168" s="127">
        <f aca="true" t="shared" si="30" ref="P168:P179">IF(punbasjubvarios3&lt;972,G168,H168)</f>
        <v>99</v>
      </c>
      <c r="Q168" s="127">
        <f aca="true" t="shared" si="31" ref="Q168:Q179">IF(punbasjubvarios3&lt;1170,P168,I168)</f>
        <v>0</v>
      </c>
      <c r="R168" s="127">
        <f aca="true" t="shared" si="32" ref="R168:R179">IF(punbasjubvarios3&lt;1401,Q168,J168)</f>
        <v>0</v>
      </c>
      <c r="S168" s="127">
        <f aca="true" t="shared" si="33" ref="S168:S178">IF(punbasjubvarios3&lt;1943,R168,K168)</f>
        <v>0</v>
      </c>
      <c r="T168" s="127">
        <f aca="true" t="shared" si="34" ref="T168:T179">IF(punbasjubvarios3&lt;=2220,S168,L168)</f>
        <v>0</v>
      </c>
    </row>
    <row r="169" spans="1:20" ht="15.75" hidden="1">
      <c r="A169">
        <v>3</v>
      </c>
      <c r="E169" s="116">
        <v>0.1</v>
      </c>
      <c r="F169" s="340" t="e">
        <f t="shared" si="28"/>
        <v>#NAME?</v>
      </c>
      <c r="G169" s="334">
        <v>581</v>
      </c>
      <c r="H169" s="334">
        <v>112</v>
      </c>
      <c r="I169" s="334">
        <v>0</v>
      </c>
      <c r="J169" s="334">
        <v>0</v>
      </c>
      <c r="K169" s="334">
        <v>0</v>
      </c>
      <c r="L169" s="334">
        <v>0</v>
      </c>
      <c r="M169" s="334">
        <v>112</v>
      </c>
      <c r="N169" s="334">
        <v>112</v>
      </c>
      <c r="O169" s="127">
        <f t="shared" si="29"/>
        <v>112</v>
      </c>
      <c r="P169" s="127">
        <f t="shared" si="30"/>
        <v>112</v>
      </c>
      <c r="Q169" s="127">
        <f t="shared" si="31"/>
        <v>0</v>
      </c>
      <c r="R169" s="127">
        <f t="shared" si="32"/>
        <v>0</v>
      </c>
      <c r="S169" s="127">
        <f t="shared" si="33"/>
        <v>0</v>
      </c>
      <c r="T169" s="127">
        <f t="shared" si="34"/>
        <v>0</v>
      </c>
    </row>
    <row r="170" spans="1:20" ht="15.75" hidden="1">
      <c r="A170">
        <v>3</v>
      </c>
      <c r="E170" s="117">
        <v>0.15</v>
      </c>
      <c r="F170" s="340" t="e">
        <f t="shared" si="28"/>
        <v>#NAME?</v>
      </c>
      <c r="G170" s="334">
        <v>705</v>
      </c>
      <c r="H170" s="334">
        <v>224</v>
      </c>
      <c r="I170" s="334">
        <v>298</v>
      </c>
      <c r="J170" s="334">
        <v>240</v>
      </c>
      <c r="K170" s="334">
        <v>224</v>
      </c>
      <c r="L170" s="334">
        <v>0</v>
      </c>
      <c r="M170" s="334">
        <v>273</v>
      </c>
      <c r="N170" s="334">
        <v>273</v>
      </c>
      <c r="O170" s="127">
        <f t="shared" si="29"/>
        <v>273</v>
      </c>
      <c r="P170" s="127">
        <f t="shared" si="30"/>
        <v>224</v>
      </c>
      <c r="Q170" s="127">
        <f t="shared" si="31"/>
        <v>298</v>
      </c>
      <c r="R170" s="127">
        <f t="shared" si="32"/>
        <v>298</v>
      </c>
      <c r="S170" s="127">
        <f t="shared" si="33"/>
        <v>298</v>
      </c>
      <c r="T170" s="127">
        <f t="shared" si="34"/>
        <v>298</v>
      </c>
    </row>
    <row r="171" spans="1:20" ht="15.75" hidden="1">
      <c r="A171">
        <v>3</v>
      </c>
      <c r="E171" s="117">
        <v>0.3</v>
      </c>
      <c r="F171" s="340" t="e">
        <f t="shared" si="28"/>
        <v>#NAME?</v>
      </c>
      <c r="G171" s="334">
        <v>733</v>
      </c>
      <c r="H171" s="334">
        <v>242</v>
      </c>
      <c r="I171" s="334">
        <v>298</v>
      </c>
      <c r="J171" s="334">
        <v>240</v>
      </c>
      <c r="K171" s="334">
        <v>224</v>
      </c>
      <c r="L171" s="334">
        <v>0</v>
      </c>
      <c r="M171" s="334">
        <v>472</v>
      </c>
      <c r="N171" s="334">
        <v>435</v>
      </c>
      <c r="O171" s="127">
        <f t="shared" si="29"/>
        <v>435</v>
      </c>
      <c r="P171" s="127">
        <f t="shared" si="30"/>
        <v>242</v>
      </c>
      <c r="Q171" s="127">
        <f t="shared" si="31"/>
        <v>298</v>
      </c>
      <c r="R171" s="127">
        <f t="shared" si="32"/>
        <v>298</v>
      </c>
      <c r="S171" s="127">
        <f t="shared" si="33"/>
        <v>298</v>
      </c>
      <c r="T171" s="127">
        <f t="shared" si="34"/>
        <v>298</v>
      </c>
    </row>
    <row r="172" spans="1:20" ht="15.75" hidden="1">
      <c r="A172">
        <v>3</v>
      </c>
      <c r="E172" s="117">
        <v>0.4</v>
      </c>
      <c r="F172" s="340" t="e">
        <f t="shared" si="28"/>
        <v>#NAME?</v>
      </c>
      <c r="G172" s="334">
        <v>796</v>
      </c>
      <c r="H172" s="334">
        <v>261</v>
      </c>
      <c r="I172" s="334">
        <v>311</v>
      </c>
      <c r="J172" s="334">
        <v>248</v>
      </c>
      <c r="K172" s="334">
        <v>224</v>
      </c>
      <c r="L172" s="334">
        <v>174</v>
      </c>
      <c r="M172" s="334">
        <v>546</v>
      </c>
      <c r="N172" s="334">
        <v>497</v>
      </c>
      <c r="O172" s="127">
        <f t="shared" si="29"/>
        <v>497</v>
      </c>
      <c r="P172" s="127">
        <f t="shared" si="30"/>
        <v>261</v>
      </c>
      <c r="Q172" s="127">
        <f t="shared" si="31"/>
        <v>311</v>
      </c>
      <c r="R172" s="127">
        <f t="shared" si="32"/>
        <v>311</v>
      </c>
      <c r="S172" s="127">
        <f t="shared" si="33"/>
        <v>311</v>
      </c>
      <c r="T172" s="127">
        <f t="shared" si="34"/>
        <v>311</v>
      </c>
    </row>
    <row r="173" spans="1:20" ht="15.75" hidden="1">
      <c r="A173">
        <v>3</v>
      </c>
      <c r="E173" s="117">
        <v>0.5</v>
      </c>
      <c r="F173" s="340" t="e">
        <f t="shared" si="28"/>
        <v>#NAME?</v>
      </c>
      <c r="G173" s="334">
        <v>575</v>
      </c>
      <c r="H173" s="334">
        <v>286</v>
      </c>
      <c r="I173" s="334">
        <v>311</v>
      </c>
      <c r="J173" s="334">
        <v>248</v>
      </c>
      <c r="K173" s="334">
        <v>224</v>
      </c>
      <c r="L173" s="334">
        <v>174</v>
      </c>
      <c r="M173" s="334">
        <v>590</v>
      </c>
      <c r="N173" s="334">
        <v>540</v>
      </c>
      <c r="O173" s="127">
        <f t="shared" si="29"/>
        <v>540</v>
      </c>
      <c r="P173" s="127">
        <f t="shared" si="30"/>
        <v>286</v>
      </c>
      <c r="Q173" s="127">
        <f t="shared" si="31"/>
        <v>311</v>
      </c>
      <c r="R173" s="127">
        <f t="shared" si="32"/>
        <v>311</v>
      </c>
      <c r="S173" s="127">
        <f t="shared" si="33"/>
        <v>311</v>
      </c>
      <c r="T173" s="127">
        <f t="shared" si="34"/>
        <v>311</v>
      </c>
    </row>
    <row r="174" spans="1:20" ht="15.75" hidden="1">
      <c r="A174">
        <v>3</v>
      </c>
      <c r="E174" s="117">
        <v>0.6</v>
      </c>
      <c r="F174" s="340" t="e">
        <f t="shared" si="28"/>
        <v>#NAME?</v>
      </c>
      <c r="G174" s="334">
        <v>578</v>
      </c>
      <c r="H174" s="334">
        <v>323</v>
      </c>
      <c r="I174" s="334">
        <v>323</v>
      </c>
      <c r="J174" s="334">
        <v>252</v>
      </c>
      <c r="K174" s="334">
        <v>236</v>
      </c>
      <c r="L174" s="334">
        <v>199</v>
      </c>
      <c r="M174" s="334">
        <v>633</v>
      </c>
      <c r="N174" s="334">
        <v>559</v>
      </c>
      <c r="O174" s="127">
        <f t="shared" si="29"/>
        <v>559</v>
      </c>
      <c r="P174" s="127">
        <f t="shared" si="30"/>
        <v>323</v>
      </c>
      <c r="Q174" s="127">
        <f t="shared" si="31"/>
        <v>323</v>
      </c>
      <c r="R174" s="127">
        <f t="shared" si="32"/>
        <v>323</v>
      </c>
      <c r="S174" s="127">
        <f t="shared" si="33"/>
        <v>323</v>
      </c>
      <c r="T174" s="127">
        <f t="shared" si="34"/>
        <v>323</v>
      </c>
    </row>
    <row r="175" spans="1:20" ht="15.75" hidden="1">
      <c r="A175">
        <v>3</v>
      </c>
      <c r="E175" s="117">
        <v>0.7</v>
      </c>
      <c r="F175" s="340" t="e">
        <f t="shared" si="28"/>
        <v>#NAME?</v>
      </c>
      <c r="G175" s="334">
        <v>553</v>
      </c>
      <c r="H175" s="334">
        <v>354</v>
      </c>
      <c r="I175" s="334">
        <v>453</v>
      </c>
      <c r="J175" s="334">
        <v>286</v>
      </c>
      <c r="K175" s="334">
        <v>236</v>
      </c>
      <c r="L175" s="334">
        <v>199</v>
      </c>
      <c r="M175" s="334">
        <v>652</v>
      </c>
      <c r="N175" s="334">
        <v>578</v>
      </c>
      <c r="O175" s="127">
        <f t="shared" si="29"/>
        <v>578</v>
      </c>
      <c r="P175" s="127">
        <f t="shared" si="30"/>
        <v>354</v>
      </c>
      <c r="Q175" s="127">
        <f t="shared" si="31"/>
        <v>453</v>
      </c>
      <c r="R175" s="127">
        <f t="shared" si="32"/>
        <v>453</v>
      </c>
      <c r="S175" s="127">
        <f t="shared" si="33"/>
        <v>453</v>
      </c>
      <c r="T175" s="127">
        <f t="shared" si="34"/>
        <v>453</v>
      </c>
    </row>
    <row r="176" spans="1:20" ht="15.75" hidden="1">
      <c r="A176">
        <v>3</v>
      </c>
      <c r="E176" s="117">
        <v>0.8</v>
      </c>
      <c r="F176" s="340" t="e">
        <f t="shared" si="28"/>
        <v>#NAME?</v>
      </c>
      <c r="G176" s="334">
        <v>664</v>
      </c>
      <c r="H176" s="334">
        <v>428</v>
      </c>
      <c r="I176" s="334">
        <v>491</v>
      </c>
      <c r="J176" s="334">
        <v>422</v>
      </c>
      <c r="K176" s="334">
        <v>348</v>
      </c>
      <c r="L176" s="334">
        <v>224</v>
      </c>
      <c r="M176" s="334">
        <v>689</v>
      </c>
      <c r="N176" s="334">
        <v>590</v>
      </c>
      <c r="O176" s="127">
        <f t="shared" si="29"/>
        <v>590</v>
      </c>
      <c r="P176" s="127">
        <f t="shared" si="30"/>
        <v>428</v>
      </c>
      <c r="Q176" s="127">
        <f t="shared" si="31"/>
        <v>491</v>
      </c>
      <c r="R176" s="127">
        <f t="shared" si="32"/>
        <v>491</v>
      </c>
      <c r="S176" s="127">
        <f t="shared" si="33"/>
        <v>491</v>
      </c>
      <c r="T176" s="127">
        <f t="shared" si="34"/>
        <v>491</v>
      </c>
    </row>
    <row r="177" spans="1:20" ht="15.75" hidden="1">
      <c r="A177">
        <v>3</v>
      </c>
      <c r="E177" s="117">
        <v>1</v>
      </c>
      <c r="F177" s="340" t="e">
        <f t="shared" si="28"/>
        <v>#NAME?</v>
      </c>
      <c r="G177" s="334">
        <v>826</v>
      </c>
      <c r="H177" s="334">
        <v>540</v>
      </c>
      <c r="I177" s="334">
        <v>509</v>
      </c>
      <c r="J177" s="334">
        <v>410</v>
      </c>
      <c r="K177" s="334">
        <v>385</v>
      </c>
      <c r="L177" s="334">
        <v>224</v>
      </c>
      <c r="M177" s="334">
        <v>733</v>
      </c>
      <c r="N177" s="334">
        <v>609</v>
      </c>
      <c r="O177" s="127">
        <f t="shared" si="29"/>
        <v>609</v>
      </c>
      <c r="P177" s="127">
        <f t="shared" si="30"/>
        <v>540</v>
      </c>
      <c r="Q177" s="127">
        <f t="shared" si="31"/>
        <v>509</v>
      </c>
      <c r="R177" s="127">
        <f t="shared" si="32"/>
        <v>509</v>
      </c>
      <c r="S177" s="127">
        <f t="shared" si="33"/>
        <v>509</v>
      </c>
      <c r="T177" s="127">
        <f t="shared" si="34"/>
        <v>509</v>
      </c>
    </row>
    <row r="178" spans="1:20" ht="15.75" hidden="1">
      <c r="A178">
        <v>3</v>
      </c>
      <c r="E178" s="117">
        <v>1.1</v>
      </c>
      <c r="F178" s="340" t="e">
        <f t="shared" si="28"/>
        <v>#NAME?</v>
      </c>
      <c r="G178" s="334">
        <v>925</v>
      </c>
      <c r="H178" s="334">
        <v>615</v>
      </c>
      <c r="I178" s="334">
        <v>534</v>
      </c>
      <c r="J178" s="334">
        <v>410</v>
      </c>
      <c r="K178" s="334">
        <v>397</v>
      </c>
      <c r="L178" s="334">
        <v>236</v>
      </c>
      <c r="M178" s="334">
        <v>764</v>
      </c>
      <c r="N178" s="334">
        <v>627</v>
      </c>
      <c r="O178" s="127">
        <f t="shared" si="29"/>
        <v>627</v>
      </c>
      <c r="P178" s="127">
        <f t="shared" si="30"/>
        <v>615</v>
      </c>
      <c r="Q178" s="127">
        <f t="shared" si="31"/>
        <v>534</v>
      </c>
      <c r="R178" s="127">
        <f t="shared" si="32"/>
        <v>534</v>
      </c>
      <c r="S178" s="127">
        <f t="shared" si="33"/>
        <v>534</v>
      </c>
      <c r="T178" s="127">
        <f t="shared" si="34"/>
        <v>534</v>
      </c>
    </row>
    <row r="179" spans="1:20" ht="16.5" hidden="1" thickBot="1">
      <c r="A179">
        <v>3</v>
      </c>
      <c r="E179" s="118">
        <v>1.2</v>
      </c>
      <c r="F179" s="340" t="e">
        <f t="shared" si="28"/>
        <v>#NAME?</v>
      </c>
      <c r="G179" s="334">
        <v>956</v>
      </c>
      <c r="H179" s="334">
        <v>633</v>
      </c>
      <c r="I179" s="334">
        <v>596</v>
      </c>
      <c r="J179" s="334">
        <v>416</v>
      </c>
      <c r="K179" s="334">
        <v>410</v>
      </c>
      <c r="L179" s="334">
        <v>236</v>
      </c>
      <c r="M179" s="334">
        <v>770</v>
      </c>
      <c r="N179" s="334">
        <v>633</v>
      </c>
      <c r="O179" s="127">
        <f t="shared" si="29"/>
        <v>633</v>
      </c>
      <c r="P179" s="127">
        <f t="shared" si="30"/>
        <v>633</v>
      </c>
      <c r="Q179" s="127">
        <f t="shared" si="31"/>
        <v>596</v>
      </c>
      <c r="R179" s="127">
        <f t="shared" si="32"/>
        <v>596</v>
      </c>
      <c r="S179" s="127">
        <f>IF(punbasjubvarios1&lt;1943,R179,K179)</f>
        <v>596</v>
      </c>
      <c r="T179" s="127">
        <f t="shared" si="34"/>
        <v>596</v>
      </c>
    </row>
    <row r="180" spans="1:20" s="208" customFormat="1" ht="15.75" hidden="1">
      <c r="A180">
        <v>3</v>
      </c>
      <c r="E180" s="209"/>
      <c r="F180" s="135"/>
      <c r="G180" s="135"/>
      <c r="H180" s="210"/>
      <c r="I180" s="211"/>
      <c r="J180" s="211"/>
      <c r="K180" s="135"/>
      <c r="L180" s="11"/>
      <c r="M180" s="125"/>
      <c r="N180" s="125"/>
      <c r="O180" s="125"/>
      <c r="P180" s="125"/>
      <c r="Q180" s="125"/>
      <c r="R180" s="125"/>
      <c r="S180" s="125"/>
      <c r="T180" s="125"/>
    </row>
    <row r="181" spans="1:20" s="208" customFormat="1" ht="15.75" hidden="1">
      <c r="A181">
        <v>3</v>
      </c>
      <c r="E181" s="209"/>
      <c r="F181" s="135" t="s">
        <v>390</v>
      </c>
      <c r="G181" s="135" t="e">
        <f>LOOKUP(F213,porantvar3,cod06cargosvar3feb11)</f>
        <v>#NAME?</v>
      </c>
      <c r="H181" s="210"/>
      <c r="I181" s="211"/>
      <c r="J181" s="211"/>
      <c r="K181" s="135"/>
      <c r="L181" s="11"/>
      <c r="M181" s="125"/>
      <c r="N181" s="125"/>
      <c r="O181" s="125"/>
      <c r="P181" s="125"/>
      <c r="Q181" s="125"/>
      <c r="R181" s="125"/>
      <c r="S181" s="125"/>
      <c r="T181" s="125"/>
    </row>
    <row r="182" spans="1:20" s="208" customFormat="1" ht="15.75" hidden="1">
      <c r="A182"/>
      <c r="E182" s="209"/>
      <c r="F182" s="135"/>
      <c r="G182" s="135"/>
      <c r="H182" s="210"/>
      <c r="I182" s="211"/>
      <c r="J182" s="211"/>
      <c r="K182" s="135"/>
      <c r="L182" s="11"/>
      <c r="M182" s="125"/>
      <c r="N182" s="125"/>
      <c r="O182" s="125"/>
      <c r="P182" s="125"/>
      <c r="Q182" s="125"/>
      <c r="R182" s="125"/>
      <c r="S182" s="125"/>
      <c r="T182" s="125"/>
    </row>
    <row r="183" spans="1:20" ht="16.5" hidden="1" thickBot="1">
      <c r="A183">
        <v>3</v>
      </c>
      <c r="F183" t="s">
        <v>354</v>
      </c>
      <c r="G183" s="10" t="s">
        <v>356</v>
      </c>
      <c r="H183" s="10" t="s">
        <v>357</v>
      </c>
      <c r="I183" s="124" t="s">
        <v>358</v>
      </c>
      <c r="J183" s="124" t="s">
        <v>359</v>
      </c>
      <c r="K183" s="124" t="s">
        <v>360</v>
      </c>
      <c r="L183" s="124" t="s">
        <v>361</v>
      </c>
      <c r="M183" s="124" t="s">
        <v>362</v>
      </c>
      <c r="N183" s="124" t="s">
        <v>363</v>
      </c>
      <c r="O183" s="126" t="s">
        <v>364</v>
      </c>
      <c r="P183" s="126">
        <v>1</v>
      </c>
      <c r="Q183" s="126">
        <v>2</v>
      </c>
      <c r="R183" s="126">
        <v>3</v>
      </c>
      <c r="S183" s="126">
        <v>4</v>
      </c>
      <c r="T183" s="126">
        <v>5</v>
      </c>
    </row>
    <row r="184" spans="1:20" ht="15.75" hidden="1">
      <c r="A184">
        <v>3</v>
      </c>
      <c r="E184" s="115">
        <v>0</v>
      </c>
      <c r="F184" s="340" t="e">
        <f aca="true" t="shared" si="35" ref="F184:F195">IF(puntosproljorvarios3&lt;620,T184,O184)</f>
        <v>#NAME?</v>
      </c>
      <c r="G184" s="10">
        <v>499</v>
      </c>
      <c r="H184" s="10">
        <v>121</v>
      </c>
      <c r="I184" s="10">
        <v>0</v>
      </c>
      <c r="J184" s="10">
        <v>0</v>
      </c>
      <c r="K184" s="10">
        <v>0</v>
      </c>
      <c r="L184" s="10">
        <v>0</v>
      </c>
      <c r="M184" s="10">
        <v>121</v>
      </c>
      <c r="N184" s="10">
        <v>121</v>
      </c>
      <c r="O184" s="127">
        <f aca="true" t="shared" si="36" ref="O184:O195">IF(punbasjubvarios3&gt;971,N184,M184)</f>
        <v>121</v>
      </c>
      <c r="P184" s="127">
        <f aca="true" t="shared" si="37" ref="P184:P195">IF(punbasjubvarios3&lt;972,G184,H184)</f>
        <v>121</v>
      </c>
      <c r="Q184" s="127">
        <f aca="true" t="shared" si="38" ref="Q184:Q195">IF(punbasjubvarios3&lt;1170,P184,I184)</f>
        <v>0</v>
      </c>
      <c r="R184" s="127">
        <f aca="true" t="shared" si="39" ref="R184:R195">IF(punbasjubvarios3&lt;1401,Q184,J184)</f>
        <v>0</v>
      </c>
      <c r="S184" s="127">
        <f aca="true" t="shared" si="40" ref="S184:S194">IF(punbasjubvarios3&lt;1943,R184,K184)</f>
        <v>0</v>
      </c>
      <c r="T184" s="127">
        <f aca="true" t="shared" si="41" ref="T184:T195">IF(punbasjubvarios3&lt;=2220,S184,L184)</f>
        <v>0</v>
      </c>
    </row>
    <row r="185" spans="1:20" ht="15.75" hidden="1">
      <c r="A185">
        <v>3</v>
      </c>
      <c r="E185" s="116">
        <v>0.1</v>
      </c>
      <c r="F185" s="340" t="e">
        <f t="shared" si="35"/>
        <v>#NAME?</v>
      </c>
      <c r="G185" s="10">
        <v>709</v>
      </c>
      <c r="H185" s="10">
        <v>137</v>
      </c>
      <c r="I185" s="10">
        <v>0</v>
      </c>
      <c r="J185" s="10">
        <v>0</v>
      </c>
      <c r="K185" s="10">
        <v>0</v>
      </c>
      <c r="L185" s="10">
        <v>0</v>
      </c>
      <c r="M185" s="10">
        <v>137</v>
      </c>
      <c r="N185" s="10">
        <v>137</v>
      </c>
      <c r="O185" s="127">
        <f t="shared" si="36"/>
        <v>137</v>
      </c>
      <c r="P185" s="127">
        <f t="shared" si="37"/>
        <v>137</v>
      </c>
      <c r="Q185" s="127">
        <f t="shared" si="38"/>
        <v>0</v>
      </c>
      <c r="R185" s="127">
        <f t="shared" si="39"/>
        <v>0</v>
      </c>
      <c r="S185" s="127">
        <f t="shared" si="40"/>
        <v>0</v>
      </c>
      <c r="T185" s="127">
        <f t="shared" si="41"/>
        <v>0</v>
      </c>
    </row>
    <row r="186" spans="1:20" ht="15.75" hidden="1">
      <c r="A186">
        <v>3</v>
      </c>
      <c r="E186" s="117">
        <v>0.15</v>
      </c>
      <c r="F186" s="340" t="e">
        <f t="shared" si="35"/>
        <v>#NAME?</v>
      </c>
      <c r="G186" s="10">
        <v>860</v>
      </c>
      <c r="H186" s="10">
        <v>273</v>
      </c>
      <c r="I186" s="10">
        <v>364</v>
      </c>
      <c r="J186" s="10">
        <v>293</v>
      </c>
      <c r="K186" s="10">
        <v>273</v>
      </c>
      <c r="L186" s="10">
        <v>0</v>
      </c>
      <c r="M186" s="10">
        <v>333</v>
      </c>
      <c r="N186" s="10">
        <v>333</v>
      </c>
      <c r="O186" s="127">
        <f t="shared" si="36"/>
        <v>333</v>
      </c>
      <c r="P186" s="127">
        <f t="shared" si="37"/>
        <v>273</v>
      </c>
      <c r="Q186" s="127">
        <f t="shared" si="38"/>
        <v>364</v>
      </c>
      <c r="R186" s="127">
        <f t="shared" si="39"/>
        <v>364</v>
      </c>
      <c r="S186" s="127">
        <f t="shared" si="40"/>
        <v>364</v>
      </c>
      <c r="T186" s="127">
        <f t="shared" si="41"/>
        <v>364</v>
      </c>
    </row>
    <row r="187" spans="1:20" ht="15.75" hidden="1">
      <c r="A187">
        <v>3</v>
      </c>
      <c r="E187" s="117">
        <v>0.3</v>
      </c>
      <c r="F187" s="340" t="e">
        <f t="shared" si="35"/>
        <v>#NAME?</v>
      </c>
      <c r="G187" s="10">
        <v>894</v>
      </c>
      <c r="H187" s="10">
        <v>295</v>
      </c>
      <c r="I187" s="10">
        <v>364</v>
      </c>
      <c r="J187" s="10">
        <v>293</v>
      </c>
      <c r="K187" s="10">
        <v>273</v>
      </c>
      <c r="L187" s="10">
        <v>0</v>
      </c>
      <c r="M187" s="10">
        <v>576</v>
      </c>
      <c r="N187" s="10">
        <v>531</v>
      </c>
      <c r="O187" s="127">
        <f t="shared" si="36"/>
        <v>531</v>
      </c>
      <c r="P187" s="127">
        <f t="shared" si="37"/>
        <v>295</v>
      </c>
      <c r="Q187" s="127">
        <f t="shared" si="38"/>
        <v>364</v>
      </c>
      <c r="R187" s="127">
        <f t="shared" si="39"/>
        <v>364</v>
      </c>
      <c r="S187" s="127">
        <f t="shared" si="40"/>
        <v>364</v>
      </c>
      <c r="T187" s="127">
        <f t="shared" si="41"/>
        <v>364</v>
      </c>
    </row>
    <row r="188" spans="1:20" ht="15.75" hidden="1">
      <c r="A188">
        <v>3</v>
      </c>
      <c r="E188" s="117">
        <v>0.4</v>
      </c>
      <c r="F188" s="340" t="e">
        <f t="shared" si="35"/>
        <v>#NAME?</v>
      </c>
      <c r="G188" s="10">
        <v>806</v>
      </c>
      <c r="H188" s="10">
        <v>318</v>
      </c>
      <c r="I188" s="10">
        <v>379</v>
      </c>
      <c r="J188" s="10">
        <v>303</v>
      </c>
      <c r="K188" s="10">
        <v>273</v>
      </c>
      <c r="L188" s="10">
        <v>212</v>
      </c>
      <c r="M188" s="10">
        <v>666</v>
      </c>
      <c r="N188" s="10">
        <v>606</v>
      </c>
      <c r="O188" s="127">
        <f t="shared" si="36"/>
        <v>606</v>
      </c>
      <c r="P188" s="127">
        <f t="shared" si="37"/>
        <v>318</v>
      </c>
      <c r="Q188" s="127">
        <f t="shared" si="38"/>
        <v>379</v>
      </c>
      <c r="R188" s="127">
        <f t="shared" si="39"/>
        <v>379</v>
      </c>
      <c r="S188" s="127">
        <f t="shared" si="40"/>
        <v>379</v>
      </c>
      <c r="T188" s="127">
        <f t="shared" si="41"/>
        <v>379</v>
      </c>
    </row>
    <row r="189" spans="1:20" ht="15.75" hidden="1">
      <c r="A189">
        <v>3</v>
      </c>
      <c r="E189" s="117">
        <v>0.5</v>
      </c>
      <c r="F189" s="340" t="e">
        <f t="shared" si="35"/>
        <v>#NAME?</v>
      </c>
      <c r="G189" s="10">
        <v>702</v>
      </c>
      <c r="H189" s="10">
        <v>349</v>
      </c>
      <c r="I189" s="10">
        <v>379</v>
      </c>
      <c r="J189" s="10">
        <v>303</v>
      </c>
      <c r="K189" s="10">
        <v>273</v>
      </c>
      <c r="L189" s="10">
        <v>212</v>
      </c>
      <c r="M189" s="10">
        <v>720</v>
      </c>
      <c r="N189" s="10">
        <v>659</v>
      </c>
      <c r="O189" s="127">
        <f t="shared" si="36"/>
        <v>659</v>
      </c>
      <c r="P189" s="127">
        <f t="shared" si="37"/>
        <v>349</v>
      </c>
      <c r="Q189" s="127">
        <f t="shared" si="38"/>
        <v>379</v>
      </c>
      <c r="R189" s="127">
        <f t="shared" si="39"/>
        <v>379</v>
      </c>
      <c r="S189" s="127">
        <f t="shared" si="40"/>
        <v>379</v>
      </c>
      <c r="T189" s="127">
        <f t="shared" si="41"/>
        <v>379</v>
      </c>
    </row>
    <row r="190" spans="1:20" ht="15.75" hidden="1">
      <c r="A190">
        <v>3</v>
      </c>
      <c r="E190" s="117">
        <v>0.6</v>
      </c>
      <c r="F190" s="340" t="e">
        <f t="shared" si="35"/>
        <v>#NAME?</v>
      </c>
      <c r="G190" s="10">
        <v>705</v>
      </c>
      <c r="H190" s="10">
        <v>394</v>
      </c>
      <c r="I190" s="10">
        <v>394</v>
      </c>
      <c r="J190" s="10">
        <v>307</v>
      </c>
      <c r="K190" s="10">
        <v>288</v>
      </c>
      <c r="L190" s="10">
        <v>243</v>
      </c>
      <c r="M190" s="10">
        <v>772</v>
      </c>
      <c r="N190" s="10">
        <v>682</v>
      </c>
      <c r="O190" s="127">
        <f t="shared" si="36"/>
        <v>682</v>
      </c>
      <c r="P190" s="127">
        <f t="shared" si="37"/>
        <v>394</v>
      </c>
      <c r="Q190" s="127">
        <f t="shared" si="38"/>
        <v>394</v>
      </c>
      <c r="R190" s="127">
        <f t="shared" si="39"/>
        <v>394</v>
      </c>
      <c r="S190" s="127">
        <f t="shared" si="40"/>
        <v>394</v>
      </c>
      <c r="T190" s="127">
        <f t="shared" si="41"/>
        <v>394</v>
      </c>
    </row>
    <row r="191" spans="1:20" ht="15.75" hidden="1">
      <c r="A191">
        <v>3</v>
      </c>
      <c r="E191" s="117">
        <v>0.7</v>
      </c>
      <c r="F191" s="340" t="e">
        <f t="shared" si="35"/>
        <v>#NAME?</v>
      </c>
      <c r="G191" s="10">
        <v>675</v>
      </c>
      <c r="H191" s="10">
        <v>432</v>
      </c>
      <c r="I191" s="10">
        <v>553</v>
      </c>
      <c r="J191" s="10">
        <v>349</v>
      </c>
      <c r="K191" s="10">
        <v>288</v>
      </c>
      <c r="L191" s="10">
        <v>243</v>
      </c>
      <c r="M191" s="10">
        <v>795</v>
      </c>
      <c r="N191" s="10">
        <v>705</v>
      </c>
      <c r="O191" s="127">
        <f t="shared" si="36"/>
        <v>705</v>
      </c>
      <c r="P191" s="127">
        <f t="shared" si="37"/>
        <v>432</v>
      </c>
      <c r="Q191" s="127">
        <f t="shared" si="38"/>
        <v>553</v>
      </c>
      <c r="R191" s="127">
        <f t="shared" si="39"/>
        <v>553</v>
      </c>
      <c r="S191" s="127">
        <f t="shared" si="40"/>
        <v>553</v>
      </c>
      <c r="T191" s="127">
        <f t="shared" si="41"/>
        <v>553</v>
      </c>
    </row>
    <row r="192" spans="1:20" ht="15.75" hidden="1">
      <c r="A192">
        <v>3</v>
      </c>
      <c r="E192" s="117">
        <v>0.8</v>
      </c>
      <c r="F192" s="340" t="e">
        <f t="shared" si="35"/>
        <v>#NAME?</v>
      </c>
      <c r="G192" s="10">
        <v>810</v>
      </c>
      <c r="H192" s="10">
        <v>522</v>
      </c>
      <c r="I192" s="10">
        <v>599</v>
      </c>
      <c r="J192" s="10">
        <v>515</v>
      </c>
      <c r="K192" s="10">
        <v>425</v>
      </c>
      <c r="L192" s="10">
        <v>273</v>
      </c>
      <c r="M192" s="10">
        <v>841</v>
      </c>
      <c r="N192" s="10">
        <v>720</v>
      </c>
      <c r="O192" s="127">
        <f t="shared" si="36"/>
        <v>720</v>
      </c>
      <c r="P192" s="127">
        <f t="shared" si="37"/>
        <v>522</v>
      </c>
      <c r="Q192" s="127">
        <f t="shared" si="38"/>
        <v>599</v>
      </c>
      <c r="R192" s="127">
        <f t="shared" si="39"/>
        <v>599</v>
      </c>
      <c r="S192" s="127">
        <f t="shared" si="40"/>
        <v>599</v>
      </c>
      <c r="T192" s="127">
        <f t="shared" si="41"/>
        <v>599</v>
      </c>
    </row>
    <row r="193" spans="1:20" ht="15.75" hidden="1">
      <c r="A193">
        <v>3</v>
      </c>
      <c r="E193" s="117">
        <v>1</v>
      </c>
      <c r="F193" s="340" t="e">
        <f t="shared" si="35"/>
        <v>#NAME?</v>
      </c>
      <c r="G193" s="10">
        <v>1008</v>
      </c>
      <c r="H193" s="10">
        <v>659</v>
      </c>
      <c r="I193" s="10">
        <v>621</v>
      </c>
      <c r="J193" s="10">
        <v>500</v>
      </c>
      <c r="K193" s="10">
        <v>470</v>
      </c>
      <c r="L193" s="10">
        <v>273</v>
      </c>
      <c r="M193" s="10">
        <v>894</v>
      </c>
      <c r="N193" s="10">
        <v>743</v>
      </c>
      <c r="O193" s="127">
        <f t="shared" si="36"/>
        <v>743</v>
      </c>
      <c r="P193" s="127">
        <f t="shared" si="37"/>
        <v>659</v>
      </c>
      <c r="Q193" s="127">
        <f t="shared" si="38"/>
        <v>621</v>
      </c>
      <c r="R193" s="127">
        <f t="shared" si="39"/>
        <v>621</v>
      </c>
      <c r="S193" s="127">
        <f t="shared" si="40"/>
        <v>621</v>
      </c>
      <c r="T193" s="127">
        <f t="shared" si="41"/>
        <v>621</v>
      </c>
    </row>
    <row r="194" spans="1:20" ht="15.75" hidden="1">
      <c r="A194">
        <v>3</v>
      </c>
      <c r="E194" s="117">
        <v>1.1</v>
      </c>
      <c r="F194" s="340" t="e">
        <f t="shared" si="35"/>
        <v>#NAME?</v>
      </c>
      <c r="G194" s="368">
        <v>1129</v>
      </c>
      <c r="H194" s="369">
        <v>750</v>
      </c>
      <c r="I194" s="10">
        <v>651</v>
      </c>
      <c r="J194" s="10">
        <v>500</v>
      </c>
      <c r="K194" s="10">
        <v>484</v>
      </c>
      <c r="L194" s="10">
        <v>288</v>
      </c>
      <c r="M194" s="10">
        <v>932</v>
      </c>
      <c r="N194" s="10">
        <v>765</v>
      </c>
      <c r="O194" s="127">
        <f t="shared" si="36"/>
        <v>765</v>
      </c>
      <c r="P194" s="127">
        <f t="shared" si="37"/>
        <v>750</v>
      </c>
      <c r="Q194" s="127">
        <f t="shared" si="38"/>
        <v>651</v>
      </c>
      <c r="R194" s="127">
        <f t="shared" si="39"/>
        <v>651</v>
      </c>
      <c r="S194" s="127">
        <f t="shared" si="40"/>
        <v>651</v>
      </c>
      <c r="T194" s="127">
        <f t="shared" si="41"/>
        <v>651</v>
      </c>
    </row>
    <row r="195" spans="1:20" ht="16.5" hidden="1" thickBot="1">
      <c r="A195">
        <v>3</v>
      </c>
      <c r="E195" s="118">
        <v>1.2</v>
      </c>
      <c r="F195" s="340" t="e">
        <f t="shared" si="35"/>
        <v>#NAME?</v>
      </c>
      <c r="G195" s="10">
        <v>1166</v>
      </c>
      <c r="H195" s="10">
        <v>772</v>
      </c>
      <c r="I195" s="10">
        <v>727</v>
      </c>
      <c r="J195" s="10">
        <v>508</v>
      </c>
      <c r="K195" s="10">
        <v>500</v>
      </c>
      <c r="L195" s="10">
        <v>288</v>
      </c>
      <c r="M195" s="10">
        <v>939</v>
      </c>
      <c r="N195" s="10">
        <v>772</v>
      </c>
      <c r="O195" s="127">
        <f t="shared" si="36"/>
        <v>772</v>
      </c>
      <c r="P195" s="127">
        <f t="shared" si="37"/>
        <v>772</v>
      </c>
      <c r="Q195" s="127">
        <f t="shared" si="38"/>
        <v>727</v>
      </c>
      <c r="R195" s="127">
        <f t="shared" si="39"/>
        <v>727</v>
      </c>
      <c r="S195" s="127">
        <f>IF(punbasjubvarios1&lt;1943,R195,K195)</f>
        <v>727</v>
      </c>
      <c r="T195" s="127">
        <f t="shared" si="41"/>
        <v>727</v>
      </c>
    </row>
    <row r="196" spans="1:20" s="208" customFormat="1" ht="15.75" hidden="1">
      <c r="A196">
        <v>3</v>
      </c>
      <c r="E196" s="209"/>
      <c r="F196" s="135"/>
      <c r="G196" s="135"/>
      <c r="H196" s="210"/>
      <c r="I196" s="211"/>
      <c r="J196" s="211"/>
      <c r="K196" s="135"/>
      <c r="L196" s="11"/>
      <c r="M196" s="125"/>
      <c r="N196" s="125"/>
      <c r="O196" s="125"/>
      <c r="P196" s="125"/>
      <c r="Q196" s="125"/>
      <c r="R196" s="125"/>
      <c r="S196" s="125"/>
      <c r="T196" s="125"/>
    </row>
    <row r="197" spans="1:20" s="208" customFormat="1" ht="15.75" hidden="1">
      <c r="A197">
        <v>3</v>
      </c>
      <c r="E197" s="209"/>
      <c r="F197" s="135" t="s">
        <v>391</v>
      </c>
      <c r="G197" s="135" t="e">
        <f>LOOKUP(F213,porantvar3,cod06cargosvar3mar11)</f>
        <v>#NAME?</v>
      </c>
      <c r="H197" s="210"/>
      <c r="I197" s="211"/>
      <c r="J197" s="211"/>
      <c r="K197" s="135"/>
      <c r="L197" s="11"/>
      <c r="M197" s="125"/>
      <c r="N197" s="125"/>
      <c r="O197" s="125"/>
      <c r="P197" s="125"/>
      <c r="Q197" s="125"/>
      <c r="R197" s="125"/>
      <c r="S197" s="125"/>
      <c r="T197" s="125"/>
    </row>
    <row r="198" spans="1:20" s="208" customFormat="1" ht="15.75" hidden="1">
      <c r="A198"/>
      <c r="E198" s="209"/>
      <c r="F198" s="135"/>
      <c r="G198" s="135"/>
      <c r="H198" s="210"/>
      <c r="I198" s="211"/>
      <c r="J198" s="211"/>
      <c r="K198" s="135"/>
      <c r="L198" s="11"/>
      <c r="M198" s="125"/>
      <c r="N198" s="125"/>
      <c r="O198" s="125"/>
      <c r="P198" s="125"/>
      <c r="Q198" s="125"/>
      <c r="R198" s="125"/>
      <c r="S198" s="125"/>
      <c r="T198" s="125"/>
    </row>
    <row r="199" s="213" customFormat="1" ht="12.75" hidden="1">
      <c r="A199">
        <v>3</v>
      </c>
    </row>
    <row r="200" ht="12.75" hidden="1">
      <c r="A200">
        <v>3</v>
      </c>
    </row>
    <row r="201" spans="1:15" ht="12.75">
      <c r="A201" s="236">
        <v>3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</row>
    <row r="202" spans="1:17" ht="20.25">
      <c r="A202" s="236">
        <v>3</v>
      </c>
      <c r="B202" s="158"/>
      <c r="C202" s="52"/>
      <c r="D202" s="52"/>
      <c r="E202" s="73" t="s">
        <v>348</v>
      </c>
      <c r="F202" s="10"/>
      <c r="G202" s="10"/>
      <c r="H202" s="52"/>
      <c r="I202" s="52"/>
      <c r="J202" s="52"/>
      <c r="K202" s="52"/>
      <c r="L202" s="52"/>
      <c r="M202" s="52"/>
      <c r="N202" s="157"/>
      <c r="O202" s="244"/>
      <c r="P202" s="135"/>
      <c r="Q202" s="135"/>
    </row>
    <row r="203" spans="1:17" ht="12.75">
      <c r="A203" s="236">
        <v>3</v>
      </c>
      <c r="B203" s="158"/>
      <c r="C203" s="158"/>
      <c r="D203" s="158"/>
      <c r="E203" s="158"/>
      <c r="F203" s="158"/>
      <c r="G203" s="158"/>
      <c r="H203" s="238"/>
      <c r="I203" s="158"/>
      <c r="J203" s="158"/>
      <c r="K203" s="158"/>
      <c r="L203" s="158"/>
      <c r="M203" s="158"/>
      <c r="N203" s="157"/>
      <c r="O203" s="244"/>
      <c r="P203" s="135"/>
      <c r="Q203" s="135"/>
    </row>
    <row r="204" spans="1:17" ht="12.75">
      <c r="A204" s="236">
        <v>3</v>
      </c>
      <c r="B204" s="236"/>
      <c r="C204" s="236"/>
      <c r="D204" s="37" t="s">
        <v>36</v>
      </c>
      <c r="E204" s="37" t="s">
        <v>316</v>
      </c>
      <c r="F204" s="37" t="s">
        <v>317</v>
      </c>
      <c r="G204" s="37" t="s">
        <v>318</v>
      </c>
      <c r="H204" s="37" t="s">
        <v>319</v>
      </c>
      <c r="I204" s="93" t="s">
        <v>365</v>
      </c>
      <c r="J204" s="402" t="s">
        <v>394</v>
      </c>
      <c r="K204" s="158"/>
      <c r="L204" s="158"/>
      <c r="M204" s="158"/>
      <c r="N204" s="157"/>
      <c r="O204" s="244"/>
      <c r="P204" s="135"/>
      <c r="Q204" s="135"/>
    </row>
    <row r="205" spans="1:17" ht="16.5" thickBot="1">
      <c r="A205" s="236">
        <v>3</v>
      </c>
      <c r="B205" s="236"/>
      <c r="C205" s="236"/>
      <c r="D205" s="109">
        <v>741</v>
      </c>
      <c r="E205" s="74">
        <f>LOOKUP(D205,[0]!numerocargo,[0]!puntosbasicoscargo)</f>
        <v>1300</v>
      </c>
      <c r="F205" s="74" t="e">
        <f>LOOKUP(D205,[0]!numerocargo,[0]!tardifcargo)</f>
        <v>#NAME?</v>
      </c>
      <c r="G205" s="74">
        <f>LOOKUP(D205,[0]!numerocargo,[0]!proljorcargo)</f>
        <v>1660</v>
      </c>
      <c r="H205" s="74" t="e">
        <f>LOOKUP(D205,[0]!numerocargo,[0]!jorcomcargo)</f>
        <v>#NAME?</v>
      </c>
      <c r="I205" s="37">
        <f>LOOKUP(D205,Cargos!A1:A337,puntoscompbasico)</f>
        <v>216</v>
      </c>
      <c r="J205" s="401" t="e">
        <f>LOOKUP(D205,Cargos!A1:A337,puntosadicdir)</f>
        <v>#REF!</v>
      </c>
      <c r="K205" s="158"/>
      <c r="L205" s="158"/>
      <c r="M205" s="158"/>
      <c r="N205" s="157"/>
      <c r="O205" s="244"/>
      <c r="P205" s="135"/>
      <c r="Q205" s="135"/>
    </row>
    <row r="206" spans="1:17" ht="13.5" thickBot="1">
      <c r="A206" s="236">
        <v>3</v>
      </c>
      <c r="B206" s="236"/>
      <c r="C206" s="236"/>
      <c r="D206" s="75" t="s">
        <v>37</v>
      </c>
      <c r="E206" s="76" t="str">
        <f>LOOKUP(D205,[0]!numerocargo,[0]!nombrecargo)</f>
        <v> SECRETARIO ESCUELA 2DA CATEGORIA</v>
      </c>
      <c r="F206" s="36"/>
      <c r="G206" s="36"/>
      <c r="H206" s="55"/>
      <c r="I206" s="158"/>
      <c r="J206" s="158"/>
      <c r="K206" s="158"/>
      <c r="L206" s="158"/>
      <c r="M206" s="158"/>
      <c r="N206" s="157"/>
      <c r="O206" s="244"/>
      <c r="P206" s="135"/>
      <c r="Q206" s="135"/>
    </row>
    <row r="207" spans="1:17" ht="13.5" thickBot="1">
      <c r="A207" s="236">
        <v>3</v>
      </c>
      <c r="B207" s="236"/>
      <c r="C207" s="236"/>
      <c r="D207" s="237"/>
      <c r="E207" s="238"/>
      <c r="F207" s="158"/>
      <c r="G207" s="158"/>
      <c r="H207" s="158"/>
      <c r="I207" s="120" t="s">
        <v>339</v>
      </c>
      <c r="J207" s="246"/>
      <c r="K207" s="246"/>
      <c r="L207" s="246"/>
      <c r="M207" s="158"/>
      <c r="N207" s="158"/>
      <c r="O207" s="158"/>
      <c r="P207" s="10"/>
      <c r="Q207" s="10"/>
    </row>
    <row r="208" spans="1:17" ht="19.5" thickBot="1" thickTop="1">
      <c r="A208" s="236">
        <v>3</v>
      </c>
      <c r="B208" s="236"/>
      <c r="C208" s="236"/>
      <c r="D208" s="136" t="s">
        <v>333</v>
      </c>
      <c r="E208" s="114"/>
      <c r="F208" s="114"/>
      <c r="G208" s="114"/>
      <c r="H208" s="137">
        <v>15</v>
      </c>
      <c r="I208" s="121">
        <f>H208/120</f>
        <v>0.125</v>
      </c>
      <c r="J208" s="238"/>
      <c r="K208" s="238"/>
      <c r="L208" s="238"/>
      <c r="M208" s="158"/>
      <c r="N208" s="158"/>
      <c r="O208" s="158"/>
      <c r="P208" s="10"/>
      <c r="Q208" s="10"/>
    </row>
    <row r="209" spans="1:17" ht="17.25" thickBot="1" thickTop="1">
      <c r="A209" s="236">
        <v>3</v>
      </c>
      <c r="B209" s="237"/>
      <c r="C209" s="238"/>
      <c r="D209" s="158"/>
      <c r="E209" s="158"/>
      <c r="F209" s="315"/>
      <c r="G209" s="158"/>
      <c r="H209" s="411"/>
      <c r="I209" s="158"/>
      <c r="J209" s="158"/>
      <c r="K209" s="158"/>
      <c r="L209" s="158"/>
      <c r="M209" s="158"/>
      <c r="N209" s="158"/>
      <c r="O209" s="158"/>
      <c r="P209" s="10"/>
      <c r="Q209" s="10"/>
    </row>
    <row r="210" spans="1:17" ht="17.25" thickBot="1" thickTop="1">
      <c r="A210" s="236">
        <v>3</v>
      </c>
      <c r="B210" s="237"/>
      <c r="C210" s="236"/>
      <c r="D210" s="112" t="s">
        <v>341</v>
      </c>
      <c r="E210" s="123">
        <v>0</v>
      </c>
      <c r="F210" s="315"/>
      <c r="G210" s="158"/>
      <c r="H210" s="238"/>
      <c r="I210" s="158"/>
      <c r="J210" s="158"/>
      <c r="K210" s="158"/>
      <c r="L210" s="158"/>
      <c r="M210" s="158"/>
      <c r="N210" s="158"/>
      <c r="O210" s="158"/>
      <c r="P210" s="10"/>
      <c r="Q210" s="10"/>
    </row>
    <row r="211" spans="1:17" ht="14.25" thickBot="1" thickTop="1">
      <c r="A211" s="236">
        <v>3</v>
      </c>
      <c r="B211" s="237"/>
      <c r="C211" s="238"/>
      <c r="D211" s="158"/>
      <c r="E211" s="412"/>
      <c r="F211" s="158"/>
      <c r="G211" s="158"/>
      <c r="H211" s="238"/>
      <c r="I211" s="158"/>
      <c r="J211" s="158"/>
      <c r="K211" s="158"/>
      <c r="L211" s="158"/>
      <c r="M211" s="158"/>
      <c r="N211" s="158"/>
      <c r="O211" s="158"/>
      <c r="P211" s="10"/>
      <c r="Q211" s="10"/>
    </row>
    <row r="212" spans="1:17" ht="16.5" thickBot="1">
      <c r="A212" s="236">
        <v>3</v>
      </c>
      <c r="B212" s="158"/>
      <c r="C212" s="52"/>
      <c r="D212" s="77" t="s">
        <v>13</v>
      </c>
      <c r="E212" s="36"/>
      <c r="F212" s="78" t="e">
        <f>E205*indicesep2010</f>
        <v>#NAME?</v>
      </c>
      <c r="G212" s="52"/>
      <c r="H212" s="52"/>
      <c r="I212" s="52"/>
      <c r="J212" s="52"/>
      <c r="K212" s="52"/>
      <c r="L212" s="52"/>
      <c r="M212" s="159"/>
      <c r="N212" s="159"/>
      <c r="O212" s="52"/>
      <c r="P212" s="10"/>
      <c r="Q212" s="10"/>
    </row>
    <row r="213" spans="1:17" ht="16.5" thickBot="1">
      <c r="A213" s="236">
        <v>3</v>
      </c>
      <c r="B213" s="158"/>
      <c r="C213" s="52"/>
      <c r="D213" s="77" t="s">
        <v>14</v>
      </c>
      <c r="E213" s="36"/>
      <c r="F213" s="111">
        <v>1.2</v>
      </c>
      <c r="G213" s="10" t="s">
        <v>15</v>
      </c>
      <c r="H213" s="10"/>
      <c r="I213" s="52"/>
      <c r="J213" s="52"/>
      <c r="K213" s="52"/>
      <c r="L213" s="52"/>
      <c r="M213" s="52"/>
      <c r="N213" s="159"/>
      <c r="O213" s="52"/>
      <c r="P213" s="10"/>
      <c r="Q213" s="10"/>
    </row>
    <row r="214" spans="1:17" ht="15.75">
      <c r="A214" s="236">
        <v>3</v>
      </c>
      <c r="B214" s="158"/>
      <c r="C214" s="52"/>
      <c r="D214" s="158"/>
      <c r="E214" s="158"/>
      <c r="F214" s="160"/>
      <c r="G214" s="52"/>
      <c r="H214" s="52"/>
      <c r="I214" s="52"/>
      <c r="J214" s="52"/>
      <c r="K214" s="52"/>
      <c r="L214" s="52"/>
      <c r="M214" s="52"/>
      <c r="N214" s="161"/>
      <c r="O214" s="52"/>
      <c r="P214" s="10"/>
      <c r="Q214" s="10"/>
    </row>
    <row r="215" spans="1:17" ht="18.75" hidden="1" thickBot="1">
      <c r="A215" s="236">
        <v>3</v>
      </c>
      <c r="B215" s="158"/>
      <c r="C215" s="52"/>
      <c r="D215" s="80" t="s">
        <v>16</v>
      </c>
      <c r="E215" s="80"/>
      <c r="F215" s="81">
        <f>E205</f>
        <v>1300</v>
      </c>
      <c r="G215" s="10" t="s">
        <v>17</v>
      </c>
      <c r="H215" s="52"/>
      <c r="I215" s="79" t="e">
        <f>H205+G205</f>
        <v>#NAME?</v>
      </c>
      <c r="J215" s="159"/>
      <c r="K215" s="159"/>
      <c r="L215" s="159"/>
      <c r="M215" s="158"/>
      <c r="N215" s="52"/>
      <c r="O215" s="52"/>
      <c r="P215" s="10"/>
      <c r="Q215" s="10"/>
    </row>
    <row r="216" spans="1:17" ht="15.75" hidden="1">
      <c r="A216" s="236">
        <v>3</v>
      </c>
      <c r="B216" s="158"/>
      <c r="C216" s="52"/>
      <c r="D216" s="158"/>
      <c r="E216" s="158"/>
      <c r="F216" s="160"/>
      <c r="G216" s="52"/>
      <c r="H216" s="52"/>
      <c r="I216" s="158"/>
      <c r="J216" s="158"/>
      <c r="K216" s="158"/>
      <c r="L216" s="158"/>
      <c r="M216" s="316"/>
      <c r="N216" s="52"/>
      <c r="O216" s="52"/>
      <c r="P216" s="10"/>
      <c r="Q216" s="10"/>
    </row>
    <row r="217" spans="1:15" ht="15.75" hidden="1">
      <c r="A217" s="236">
        <v>3</v>
      </c>
      <c r="B217" s="158"/>
      <c r="C217" s="52"/>
      <c r="D217" s="10"/>
      <c r="E217" s="128" t="s">
        <v>384</v>
      </c>
      <c r="F217" s="10"/>
      <c r="G217" s="133"/>
      <c r="H217" s="10"/>
      <c r="I217" s="128" t="s">
        <v>385</v>
      </c>
      <c r="J217" s="10"/>
      <c r="K217" s="236"/>
      <c r="L217" s="11"/>
      <c r="M217" s="384"/>
      <c r="N217" s="11"/>
      <c r="O217" s="236"/>
    </row>
    <row r="218" spans="1:15" ht="12.75" hidden="1">
      <c r="A218" s="236">
        <v>3</v>
      </c>
      <c r="B218" s="158"/>
      <c r="C218" s="236"/>
      <c r="D218" s="17">
        <v>400</v>
      </c>
      <c r="E218" s="17" t="s">
        <v>18</v>
      </c>
      <c r="F218" s="82" t="e">
        <f>punbasjubvarios3*indicesep2010*porjubvarcar*frac3</f>
        <v>#NAME?</v>
      </c>
      <c r="G218" s="236"/>
      <c r="H218" s="17">
        <v>400</v>
      </c>
      <c r="I218" s="17" t="s">
        <v>18</v>
      </c>
      <c r="J218" s="82" t="e">
        <f>punbasjubvarios3*indicemar2011*porjubvarcar*frac3</f>
        <v>#NAME?</v>
      </c>
      <c r="K218" s="236"/>
      <c r="L218" s="11"/>
      <c r="M218" s="11"/>
      <c r="N218" s="385"/>
      <c r="O218" s="236"/>
    </row>
    <row r="219" spans="1:15" ht="12.75" hidden="1">
      <c r="A219" s="236">
        <v>3</v>
      </c>
      <c r="B219" s="158"/>
      <c r="C219" s="236"/>
      <c r="D219" s="17">
        <v>542</v>
      </c>
      <c r="E219" s="17" t="s">
        <v>370</v>
      </c>
      <c r="F219" s="195" t="e">
        <f>compbasicovarios3*indicesep2010*porjubvarcar*frac3</f>
        <v>#NAME?</v>
      </c>
      <c r="G219" s="236"/>
      <c r="H219" s="17">
        <v>542</v>
      </c>
      <c r="I219" s="17" t="s">
        <v>370</v>
      </c>
      <c r="J219" s="195" t="e">
        <f>compbasicovarios3*indicemar2011*porjubvarcar*frac3</f>
        <v>#NAME?</v>
      </c>
      <c r="K219" s="236"/>
      <c r="L219" s="11"/>
      <c r="M219" s="11"/>
      <c r="N219" s="385"/>
      <c r="O219" s="236"/>
    </row>
    <row r="220" spans="1:15" ht="12.75" hidden="1">
      <c r="A220" s="236"/>
      <c r="B220" s="158"/>
      <c r="C220" s="236"/>
      <c r="D220" s="370"/>
      <c r="E220" s="370"/>
      <c r="F220" s="403"/>
      <c r="G220" s="236"/>
      <c r="H220" s="375" t="s">
        <v>383</v>
      </c>
      <c r="I220" s="376" t="s">
        <v>382</v>
      </c>
      <c r="J220" s="400" t="e">
        <f>adicdirvarios3*indicemar2011*porjubvarcar*frac3</f>
        <v>#REF!</v>
      </c>
      <c r="K220" s="236"/>
      <c r="L220" s="11"/>
      <c r="M220" s="11"/>
      <c r="N220" s="385"/>
      <c r="O220" s="236"/>
    </row>
    <row r="221" spans="1:14" ht="12.75" hidden="1">
      <c r="A221" s="236">
        <v>3</v>
      </c>
      <c r="B221" s="158"/>
      <c r="C221" s="236"/>
      <c r="D221" s="17">
        <v>404</v>
      </c>
      <c r="E221" s="17" t="s">
        <v>321</v>
      </c>
      <c r="F221" s="82" t="e">
        <f>puntardifvar3*indicesep2010*porjubvarcar*frac3</f>
        <v>#NAME?</v>
      </c>
      <c r="G221" s="236"/>
      <c r="H221" s="17">
        <v>404</v>
      </c>
      <c r="I221" s="17" t="s">
        <v>321</v>
      </c>
      <c r="J221" s="82" t="e">
        <f>puntardifvar3*indicemar2011*porjubvarcar*frac3</f>
        <v>#NAME?</v>
      </c>
      <c r="L221" s="11"/>
      <c r="M221" s="11"/>
      <c r="N221" s="385"/>
    </row>
    <row r="222" spans="1:14" ht="12.75" hidden="1">
      <c r="A222" s="236">
        <v>3</v>
      </c>
      <c r="B222" s="158"/>
      <c r="C222" s="236"/>
      <c r="D222" s="17">
        <v>406</v>
      </c>
      <c r="E222" s="17" t="s">
        <v>19</v>
      </c>
      <c r="F222" s="82" t="e">
        <f>(F218+F219+F221+F224)*F213</f>
        <v>#NAME?</v>
      </c>
      <c r="G222" s="236"/>
      <c r="H222" s="17">
        <v>406</v>
      </c>
      <c r="I222" s="17" t="s">
        <v>19</v>
      </c>
      <c r="J222" s="82" t="e">
        <f>(J218+J219+J221+J224)*F213</f>
        <v>#NAME?</v>
      </c>
      <c r="L222" s="11"/>
      <c r="M222" s="11"/>
      <c r="N222" s="385"/>
    </row>
    <row r="223" spans="1:14" ht="12.75" hidden="1">
      <c r="A223" s="236">
        <v>3</v>
      </c>
      <c r="B223" s="158"/>
      <c r="C223" s="236"/>
      <c r="D223" s="17">
        <v>408</v>
      </c>
      <c r="E223" s="17" t="s">
        <v>340</v>
      </c>
      <c r="F223" s="82" t="e">
        <f>(F218+F219+F221+F224)*E210</f>
        <v>#NAME?</v>
      </c>
      <c r="G223" s="236"/>
      <c r="H223" s="17">
        <v>408</v>
      </c>
      <c r="I223" s="17" t="s">
        <v>340</v>
      </c>
      <c r="J223" s="82" t="e">
        <f>(J218+J219+J221+J224)*E210</f>
        <v>#NAME?</v>
      </c>
      <c r="L223" s="11"/>
      <c r="M223" s="11"/>
      <c r="N223" s="385"/>
    </row>
    <row r="224" spans="1:14" ht="12.75" hidden="1">
      <c r="A224" s="236">
        <v>3</v>
      </c>
      <c r="B224" s="158"/>
      <c r="C224" s="236"/>
      <c r="D224" s="17">
        <v>416</v>
      </c>
      <c r="E224" s="83" t="s">
        <v>322</v>
      </c>
      <c r="F224" s="82" t="e">
        <f>puntosproljorvarios3*proljorsep2010*porjubvarcar*frac3</f>
        <v>#NAME?</v>
      </c>
      <c r="G224" s="236"/>
      <c r="H224" s="17">
        <v>416</v>
      </c>
      <c r="I224" s="83" t="s">
        <v>322</v>
      </c>
      <c r="J224" s="82" t="e">
        <f>puntosproljorvarios3*proljormar2011*porjubvarcar*frac3</f>
        <v>#NAME?</v>
      </c>
      <c r="L224" s="11"/>
      <c r="M224" s="399"/>
      <c r="N224" s="385"/>
    </row>
    <row r="225" spans="1:14" ht="12.75" hidden="1">
      <c r="A225" s="236">
        <v>3</v>
      </c>
      <c r="B225" s="158"/>
      <c r="C225" s="236"/>
      <c r="D225" s="17">
        <v>432</v>
      </c>
      <c r="E225" s="17" t="s">
        <v>338</v>
      </c>
      <c r="F225" s="82" t="e">
        <f>cod06feb11varios3*porjubvarcar*frac3</f>
        <v>#NAME?</v>
      </c>
      <c r="G225" s="236"/>
      <c r="H225" s="17">
        <v>432</v>
      </c>
      <c r="I225" s="17" t="s">
        <v>338</v>
      </c>
      <c r="J225" s="82" t="e">
        <f>cod06mar11varios3*porjubvarcar*frac3</f>
        <v>#NAME?</v>
      </c>
      <c r="L225" s="11"/>
      <c r="M225" s="11"/>
      <c r="N225" s="385"/>
    </row>
    <row r="226" spans="1:14" ht="12.75" hidden="1">
      <c r="A226" s="236">
        <v>3</v>
      </c>
      <c r="B226" s="158"/>
      <c r="C226" s="236"/>
      <c r="D226" s="17">
        <v>434</v>
      </c>
      <c r="E226" s="17" t="s">
        <v>320</v>
      </c>
      <c r="F226" s="82" t="e">
        <f>(F218+F219+F221+F222+F224+F225+F223)*0.07*0.95</f>
        <v>#NAME?</v>
      </c>
      <c r="G226" s="236"/>
      <c r="H226" s="17">
        <v>434</v>
      </c>
      <c r="I226" s="17" t="s">
        <v>320</v>
      </c>
      <c r="J226" s="82" t="e">
        <f>(J218+J219+J221+J222+J224+J225+J223)*0.07*0.95</f>
        <v>#NAME?</v>
      </c>
      <c r="L226" s="11"/>
      <c r="M226" s="11"/>
      <c r="N226" s="385"/>
    </row>
    <row r="227" spans="1:14" ht="12.75" hidden="1">
      <c r="A227" s="236">
        <v>3</v>
      </c>
      <c r="B227" s="158"/>
      <c r="C227" s="236"/>
      <c r="D227" s="17"/>
      <c r="E227" s="84"/>
      <c r="F227" s="141"/>
      <c r="G227" s="236"/>
      <c r="H227" s="17"/>
      <c r="I227" s="84"/>
      <c r="J227" s="141"/>
      <c r="L227" s="11"/>
      <c r="M227" s="11"/>
      <c r="N227" s="385"/>
    </row>
    <row r="228" spans="1:14" ht="13.5" hidden="1" thickBot="1">
      <c r="A228" s="236">
        <v>3</v>
      </c>
      <c r="B228" s="158"/>
      <c r="C228" s="236"/>
      <c r="D228" s="17"/>
      <c r="E228" s="84" t="s">
        <v>336</v>
      </c>
      <c r="F228" s="110">
        <v>0</v>
      </c>
      <c r="G228" s="236"/>
      <c r="H228" s="17"/>
      <c r="I228" s="84" t="s">
        <v>336</v>
      </c>
      <c r="J228" s="110">
        <v>0</v>
      </c>
      <c r="L228" s="11"/>
      <c r="M228" s="11"/>
      <c r="N228" s="395"/>
    </row>
    <row r="229" spans="1:14" ht="16.5" hidden="1" thickBot="1">
      <c r="A229" s="236">
        <v>3</v>
      </c>
      <c r="B229" s="158"/>
      <c r="C229" s="236"/>
      <c r="D229" s="85"/>
      <c r="E229" s="86" t="s">
        <v>20</v>
      </c>
      <c r="F229" s="87" t="e">
        <f>SUM(F218:F228)</f>
        <v>#NAME?</v>
      </c>
      <c r="G229" s="236"/>
      <c r="H229" s="85"/>
      <c r="I229" s="86" t="s">
        <v>20</v>
      </c>
      <c r="J229" s="87" t="e">
        <f>SUM(J218:J228)</f>
        <v>#NAME?</v>
      </c>
      <c r="L229" s="11"/>
      <c r="M229" s="68"/>
      <c r="N229" s="393"/>
    </row>
    <row r="230" spans="1:14" ht="12.75" hidden="1">
      <c r="A230" s="236">
        <v>3</v>
      </c>
      <c r="B230" s="158"/>
      <c r="C230" s="236"/>
      <c r="D230" s="17">
        <v>703</v>
      </c>
      <c r="E230" s="88" t="s">
        <v>323</v>
      </c>
      <c r="F230" s="89" t="e">
        <f>(F229-F228)*0.0025</f>
        <v>#NAME?</v>
      </c>
      <c r="G230" s="236"/>
      <c r="H230" s="17">
        <v>703</v>
      </c>
      <c r="I230" s="88" t="s">
        <v>323</v>
      </c>
      <c r="J230" s="89" t="e">
        <f>(J229-J228)*0.0025</f>
        <v>#NAME?</v>
      </c>
      <c r="L230" s="11"/>
      <c r="M230" s="388"/>
      <c r="N230" s="389"/>
    </row>
    <row r="231" spans="1:14" ht="12.75" hidden="1">
      <c r="A231" s="236">
        <v>3</v>
      </c>
      <c r="B231" s="158"/>
      <c r="C231" s="236"/>
      <c r="D231" s="18">
        <v>707</v>
      </c>
      <c r="E231" s="90" t="s">
        <v>22</v>
      </c>
      <c r="F231" s="16" t="e">
        <f>(F229-F228)*0.03</f>
        <v>#NAME?</v>
      </c>
      <c r="G231" s="236"/>
      <c r="H231" s="18">
        <v>707</v>
      </c>
      <c r="I231" s="90" t="s">
        <v>22</v>
      </c>
      <c r="J231" s="16" t="e">
        <f>(J229-J228)*0.03</f>
        <v>#NAME?</v>
      </c>
      <c r="L231" s="11"/>
      <c r="M231" s="382"/>
      <c r="N231" s="389"/>
    </row>
    <row r="232" spans="1:14" ht="12.75" hidden="1">
      <c r="A232" s="236">
        <v>3</v>
      </c>
      <c r="B232" s="158"/>
      <c r="C232" s="236"/>
      <c r="D232" s="18">
        <v>709</v>
      </c>
      <c r="E232" s="90" t="s">
        <v>23</v>
      </c>
      <c r="F232" s="16" t="e">
        <f>(F229-F228)*0.0213</f>
        <v>#NAME?</v>
      </c>
      <c r="G232" s="236"/>
      <c r="H232" s="18">
        <v>709</v>
      </c>
      <c r="I232" s="90" t="s">
        <v>23</v>
      </c>
      <c r="J232" s="16" t="e">
        <f>(J229-J228)*0.0213</f>
        <v>#NAME?</v>
      </c>
      <c r="L232" s="11"/>
      <c r="M232" s="382"/>
      <c r="N232" s="389"/>
    </row>
    <row r="233" spans="1:14" ht="12.75" hidden="1">
      <c r="A233" s="236">
        <v>3</v>
      </c>
      <c r="B233" s="158"/>
      <c r="C233" s="236"/>
      <c r="D233" s="15">
        <v>710</v>
      </c>
      <c r="E233" s="90" t="s">
        <v>24</v>
      </c>
      <c r="F233" s="16" t="e">
        <f>(F229-F228)*0.00754</f>
        <v>#NAME?</v>
      </c>
      <c r="G233" s="236"/>
      <c r="H233" s="15">
        <v>710</v>
      </c>
      <c r="I233" s="90" t="s">
        <v>24</v>
      </c>
      <c r="J233" s="16" t="e">
        <f>(J229-J228)*0.00754</f>
        <v>#NAME?</v>
      </c>
      <c r="L233" s="382"/>
      <c r="M233" s="382"/>
      <c r="N233" s="389"/>
    </row>
    <row r="234" spans="1:14" ht="12.75" hidden="1">
      <c r="A234" s="236">
        <v>3</v>
      </c>
      <c r="B234" s="158"/>
      <c r="C234" s="236"/>
      <c r="D234" s="15">
        <v>713</v>
      </c>
      <c r="E234" s="90" t="s">
        <v>25</v>
      </c>
      <c r="F234" s="16" t="e">
        <f>(F229-F228)*0.007</f>
        <v>#NAME?</v>
      </c>
      <c r="G234" s="236"/>
      <c r="H234" s="15">
        <v>713</v>
      </c>
      <c r="I234" s="90" t="s">
        <v>25</v>
      </c>
      <c r="J234" s="16" t="e">
        <f>(J229-J228)*0.007</f>
        <v>#NAME?</v>
      </c>
      <c r="L234" s="382"/>
      <c r="M234" s="382"/>
      <c r="N234" s="389"/>
    </row>
    <row r="235" spans="1:14" ht="13.5" hidden="1" thickBot="1">
      <c r="A235" s="236">
        <v>3</v>
      </c>
      <c r="B235" s="158"/>
      <c r="C235" s="236"/>
      <c r="D235" s="15"/>
      <c r="E235" s="91" t="s">
        <v>26</v>
      </c>
      <c r="F235" s="41">
        <v>0</v>
      </c>
      <c r="G235" s="236"/>
      <c r="H235" s="15"/>
      <c r="I235" s="91" t="s">
        <v>26</v>
      </c>
      <c r="J235" s="41">
        <v>0</v>
      </c>
      <c r="L235" s="382"/>
      <c r="M235" s="382"/>
      <c r="N235" s="396"/>
    </row>
    <row r="236" spans="1:14" ht="16.5" hidden="1" thickBot="1">
      <c r="A236" s="236">
        <v>3</v>
      </c>
      <c r="B236" s="158"/>
      <c r="C236" s="236"/>
      <c r="D236" s="92"/>
      <c r="E236" s="86" t="s">
        <v>27</v>
      </c>
      <c r="F236" s="87" t="e">
        <f>SUM(F230:F235)</f>
        <v>#NAME?</v>
      </c>
      <c r="G236" s="236"/>
      <c r="H236" s="92"/>
      <c r="I236" s="86" t="s">
        <v>27</v>
      </c>
      <c r="J236" s="87" t="e">
        <f>SUM(J230:J235)</f>
        <v>#NAME?</v>
      </c>
      <c r="L236" s="11"/>
      <c r="M236" s="68"/>
      <c r="N236" s="393"/>
    </row>
    <row r="237" spans="1:14" ht="13.5" hidden="1" thickBot="1">
      <c r="A237" s="236">
        <v>3</v>
      </c>
      <c r="B237" s="158"/>
      <c r="C237" s="236"/>
      <c r="D237" s="93"/>
      <c r="E237" s="94"/>
      <c r="F237" s="95"/>
      <c r="G237" s="236"/>
      <c r="H237" s="93"/>
      <c r="I237" s="94"/>
      <c r="J237" s="95"/>
      <c r="L237" s="68"/>
      <c r="M237" s="11"/>
      <c r="N237" s="397"/>
    </row>
    <row r="238" spans="1:14" ht="16.5" hidden="1" thickBot="1">
      <c r="A238" s="236">
        <v>3</v>
      </c>
      <c r="B238" s="52"/>
      <c r="C238" s="236"/>
      <c r="D238" s="96"/>
      <c r="E238" s="97" t="s">
        <v>28</v>
      </c>
      <c r="F238" s="98" t="e">
        <f>F229-F236</f>
        <v>#NAME?</v>
      </c>
      <c r="G238" s="236"/>
      <c r="H238" s="96"/>
      <c r="I238" s="97" t="s">
        <v>28</v>
      </c>
      <c r="J238" s="98" t="e">
        <f>J229-J236</f>
        <v>#NAME?</v>
      </c>
      <c r="L238" s="217"/>
      <c r="M238" s="392"/>
      <c r="N238" s="398"/>
    </row>
    <row r="239" spans="1:7" s="213" customFormat="1" ht="12.75" hidden="1">
      <c r="A239" s="236">
        <v>3</v>
      </c>
      <c r="B239" s="158"/>
      <c r="C239" s="239"/>
      <c r="G239" s="245"/>
    </row>
    <row r="240" spans="1:17" ht="15.75" hidden="1">
      <c r="A240" s="236">
        <v>3</v>
      </c>
      <c r="B240" s="52"/>
      <c r="C240" s="52"/>
      <c r="D240" s="4"/>
      <c r="E240" s="174"/>
      <c r="F240" s="176"/>
      <c r="G240" s="10"/>
      <c r="H240" s="4"/>
      <c r="I240" s="174"/>
      <c r="J240" s="176"/>
      <c r="L240" s="4"/>
      <c r="M240" s="174"/>
      <c r="N240" s="176"/>
      <c r="Q240" s="236"/>
    </row>
    <row r="241" spans="1:17" ht="15.75" hidden="1">
      <c r="A241" s="236">
        <v>3</v>
      </c>
      <c r="B241" s="52"/>
      <c r="C241" s="52"/>
      <c r="D241" s="240"/>
      <c r="E241" s="241"/>
      <c r="F241" s="242"/>
      <c r="G241" s="52"/>
      <c r="H241" s="240"/>
      <c r="I241" s="241"/>
      <c r="J241" s="242"/>
      <c r="K241" s="236"/>
      <c r="L241" s="236"/>
      <c r="M241" s="236"/>
      <c r="N241" s="236"/>
      <c r="O241" s="236"/>
      <c r="P241" s="208"/>
      <c r="Q241" s="208"/>
    </row>
    <row r="242" spans="1:17" ht="15.75" hidden="1">
      <c r="A242" s="236">
        <v>3</v>
      </c>
      <c r="B242" s="52"/>
      <c r="C242" s="52"/>
      <c r="D242" s="240"/>
      <c r="E242" s="241"/>
      <c r="F242" s="242"/>
      <c r="G242" s="52"/>
      <c r="H242" s="240"/>
      <c r="I242" s="241"/>
      <c r="J242" s="243"/>
      <c r="K242" s="236"/>
      <c r="L242" s="236"/>
      <c r="M242" s="236"/>
      <c r="N242" s="236"/>
      <c r="O242" s="236"/>
      <c r="P242" s="208"/>
      <c r="Q242" s="208"/>
    </row>
    <row r="243" ht="12.75" hidden="1"/>
    <row r="244" s="213" customFormat="1" ht="12.75" hidden="1"/>
    <row r="245" spans="1:20" ht="16.5" hidden="1" thickBot="1">
      <c r="A245" s="213">
        <v>4</v>
      </c>
      <c r="F245" t="s">
        <v>354</v>
      </c>
      <c r="G245" s="10" t="s">
        <v>356</v>
      </c>
      <c r="H245" s="10" t="s">
        <v>357</v>
      </c>
      <c r="I245" s="124" t="s">
        <v>358</v>
      </c>
      <c r="J245" s="124" t="s">
        <v>359</v>
      </c>
      <c r="K245" s="124" t="s">
        <v>360</v>
      </c>
      <c r="L245" s="124" t="s">
        <v>361</v>
      </c>
      <c r="M245" s="124" t="s">
        <v>362</v>
      </c>
      <c r="N245" s="124" t="s">
        <v>363</v>
      </c>
      <c r="O245" s="126" t="s">
        <v>364</v>
      </c>
      <c r="P245" s="126">
        <v>1</v>
      </c>
      <c r="Q245" s="126">
        <v>2</v>
      </c>
      <c r="R245" s="126">
        <v>3</v>
      </c>
      <c r="S245" s="126">
        <v>4</v>
      </c>
      <c r="T245" s="126">
        <v>5</v>
      </c>
    </row>
    <row r="246" spans="1:20" ht="15.75" hidden="1">
      <c r="A246" s="213">
        <v>4</v>
      </c>
      <c r="E246" s="115">
        <v>0</v>
      </c>
      <c r="F246" s="340" t="e">
        <f aca="true" t="shared" si="42" ref="F246:F257">IF(puntosproljorvarios4&lt;620,T246,O246)</f>
        <v>#NAME?</v>
      </c>
      <c r="G246" s="334">
        <v>409</v>
      </c>
      <c r="H246" s="334">
        <v>99</v>
      </c>
      <c r="I246" s="334">
        <v>0</v>
      </c>
      <c r="J246" s="334">
        <v>0</v>
      </c>
      <c r="K246" s="334">
        <v>0</v>
      </c>
      <c r="L246" s="334">
        <v>0</v>
      </c>
      <c r="M246" s="334">
        <v>99</v>
      </c>
      <c r="N246" s="334">
        <v>99</v>
      </c>
      <c r="O246" s="127">
        <f aca="true" t="shared" si="43" ref="O246:O257">IF(punbasjubvarios4&gt;971,N246,M246)</f>
        <v>99</v>
      </c>
      <c r="P246" s="127">
        <f aca="true" t="shared" si="44" ref="P246:P257">IF(punbasjubvarios4&lt;972,G246,H246)</f>
        <v>99</v>
      </c>
      <c r="Q246" s="127">
        <f aca="true" t="shared" si="45" ref="Q246:Q257">IF(punbasjubvarios4&lt;1170,P246,I246)</f>
        <v>0</v>
      </c>
      <c r="R246" s="127">
        <f aca="true" t="shared" si="46" ref="R246:R257">IF(punbasjubvarios4&lt;1401,Q246,J246)</f>
        <v>0</v>
      </c>
      <c r="S246" s="127">
        <f aca="true" t="shared" si="47" ref="S246:S257">IF(punbasjubvarios4&lt;1943,R246,K246)</f>
        <v>0</v>
      </c>
      <c r="T246" s="127">
        <f aca="true" t="shared" si="48" ref="T246:T257">IF(punbasjubvarios4&lt;=2220,S246,L246)</f>
        <v>0</v>
      </c>
    </row>
    <row r="247" spans="1:20" ht="15.75" hidden="1">
      <c r="A247" s="213">
        <v>4</v>
      </c>
      <c r="E247" s="116">
        <v>0.1</v>
      </c>
      <c r="F247" s="340" t="e">
        <f t="shared" si="42"/>
        <v>#NAME?</v>
      </c>
      <c r="G247" s="334">
        <v>581</v>
      </c>
      <c r="H247" s="334">
        <v>112</v>
      </c>
      <c r="I247" s="334">
        <v>0</v>
      </c>
      <c r="J247" s="334">
        <v>0</v>
      </c>
      <c r="K247" s="334">
        <v>0</v>
      </c>
      <c r="L247" s="334">
        <v>0</v>
      </c>
      <c r="M247" s="334">
        <v>112</v>
      </c>
      <c r="N247" s="334">
        <v>112</v>
      </c>
      <c r="O247" s="127">
        <f t="shared" si="43"/>
        <v>112</v>
      </c>
      <c r="P247" s="127">
        <f t="shared" si="44"/>
        <v>112</v>
      </c>
      <c r="Q247" s="127">
        <f t="shared" si="45"/>
        <v>0</v>
      </c>
      <c r="R247" s="127">
        <f t="shared" si="46"/>
        <v>0</v>
      </c>
      <c r="S247" s="127">
        <f t="shared" si="47"/>
        <v>0</v>
      </c>
      <c r="T247" s="127">
        <f t="shared" si="48"/>
        <v>0</v>
      </c>
    </row>
    <row r="248" spans="1:20" ht="15.75" hidden="1">
      <c r="A248" s="213">
        <v>4</v>
      </c>
      <c r="E248" s="117">
        <v>0.15</v>
      </c>
      <c r="F248" s="340" t="e">
        <f t="shared" si="42"/>
        <v>#NAME?</v>
      </c>
      <c r="G248" s="334">
        <v>705</v>
      </c>
      <c r="H248" s="334">
        <v>224</v>
      </c>
      <c r="I248" s="334">
        <v>298</v>
      </c>
      <c r="J248" s="334">
        <v>240</v>
      </c>
      <c r="K248" s="334">
        <v>224</v>
      </c>
      <c r="L248" s="334">
        <v>0</v>
      </c>
      <c r="M248" s="334">
        <v>273</v>
      </c>
      <c r="N248" s="334">
        <v>273</v>
      </c>
      <c r="O248" s="127">
        <f t="shared" si="43"/>
        <v>273</v>
      </c>
      <c r="P248" s="127">
        <f t="shared" si="44"/>
        <v>224</v>
      </c>
      <c r="Q248" s="127">
        <f t="shared" si="45"/>
        <v>298</v>
      </c>
      <c r="R248" s="127">
        <f t="shared" si="46"/>
        <v>240</v>
      </c>
      <c r="S248" s="127">
        <f t="shared" si="47"/>
        <v>240</v>
      </c>
      <c r="T248" s="127">
        <f t="shared" si="48"/>
        <v>240</v>
      </c>
    </row>
    <row r="249" spans="1:20" ht="15.75" hidden="1">
      <c r="A249" s="213">
        <v>4</v>
      </c>
      <c r="E249" s="117">
        <v>0.3</v>
      </c>
      <c r="F249" s="340" t="e">
        <f t="shared" si="42"/>
        <v>#NAME?</v>
      </c>
      <c r="G249" s="334">
        <v>733</v>
      </c>
      <c r="H249" s="334">
        <v>242</v>
      </c>
      <c r="I249" s="334">
        <v>298</v>
      </c>
      <c r="J249" s="334">
        <v>240</v>
      </c>
      <c r="K249" s="334">
        <v>224</v>
      </c>
      <c r="L249" s="334">
        <v>0</v>
      </c>
      <c r="M249" s="334">
        <v>472</v>
      </c>
      <c r="N249" s="334">
        <v>435</v>
      </c>
      <c r="O249" s="127">
        <f t="shared" si="43"/>
        <v>435</v>
      </c>
      <c r="P249" s="127">
        <f t="shared" si="44"/>
        <v>242</v>
      </c>
      <c r="Q249" s="127">
        <f t="shared" si="45"/>
        <v>298</v>
      </c>
      <c r="R249" s="127">
        <f t="shared" si="46"/>
        <v>240</v>
      </c>
      <c r="S249" s="127">
        <f t="shared" si="47"/>
        <v>240</v>
      </c>
      <c r="T249" s="127">
        <f t="shared" si="48"/>
        <v>240</v>
      </c>
    </row>
    <row r="250" spans="1:20" ht="15.75" hidden="1">
      <c r="A250" s="213">
        <v>4</v>
      </c>
      <c r="E250" s="117">
        <v>0.4</v>
      </c>
      <c r="F250" s="340" t="e">
        <f t="shared" si="42"/>
        <v>#NAME?</v>
      </c>
      <c r="G250" s="334">
        <v>796</v>
      </c>
      <c r="H250" s="334">
        <v>261</v>
      </c>
      <c r="I250" s="334">
        <v>311</v>
      </c>
      <c r="J250" s="334">
        <v>248</v>
      </c>
      <c r="K250" s="334">
        <v>224</v>
      </c>
      <c r="L250" s="334">
        <v>174</v>
      </c>
      <c r="M250" s="334">
        <v>546</v>
      </c>
      <c r="N250" s="334">
        <v>497</v>
      </c>
      <c r="O250" s="127">
        <f t="shared" si="43"/>
        <v>497</v>
      </c>
      <c r="P250" s="127">
        <f t="shared" si="44"/>
        <v>261</v>
      </c>
      <c r="Q250" s="127">
        <f t="shared" si="45"/>
        <v>311</v>
      </c>
      <c r="R250" s="127">
        <f t="shared" si="46"/>
        <v>248</v>
      </c>
      <c r="S250" s="127">
        <f t="shared" si="47"/>
        <v>248</v>
      </c>
      <c r="T250" s="127">
        <f t="shared" si="48"/>
        <v>248</v>
      </c>
    </row>
    <row r="251" spans="1:20" ht="15.75" hidden="1">
      <c r="A251" s="213">
        <v>4</v>
      </c>
      <c r="E251" s="117">
        <v>0.5</v>
      </c>
      <c r="F251" s="340" t="e">
        <f t="shared" si="42"/>
        <v>#NAME?</v>
      </c>
      <c r="G251" s="334">
        <v>575</v>
      </c>
      <c r="H251" s="334">
        <v>286</v>
      </c>
      <c r="I251" s="334">
        <v>311</v>
      </c>
      <c r="J251" s="334">
        <v>248</v>
      </c>
      <c r="K251" s="334">
        <v>224</v>
      </c>
      <c r="L251" s="334">
        <v>174</v>
      </c>
      <c r="M251" s="334">
        <v>590</v>
      </c>
      <c r="N251" s="334">
        <v>540</v>
      </c>
      <c r="O251" s="127">
        <f t="shared" si="43"/>
        <v>540</v>
      </c>
      <c r="P251" s="127">
        <f t="shared" si="44"/>
        <v>286</v>
      </c>
      <c r="Q251" s="127">
        <f t="shared" si="45"/>
        <v>311</v>
      </c>
      <c r="R251" s="127">
        <f t="shared" si="46"/>
        <v>248</v>
      </c>
      <c r="S251" s="127">
        <f t="shared" si="47"/>
        <v>248</v>
      </c>
      <c r="T251" s="127">
        <f t="shared" si="48"/>
        <v>248</v>
      </c>
    </row>
    <row r="252" spans="1:20" ht="15.75" hidden="1">
      <c r="A252" s="213">
        <v>4</v>
      </c>
      <c r="E252" s="117">
        <v>0.6</v>
      </c>
      <c r="F252" s="340" t="e">
        <f t="shared" si="42"/>
        <v>#NAME?</v>
      </c>
      <c r="G252" s="334">
        <v>578</v>
      </c>
      <c r="H252" s="334">
        <v>323</v>
      </c>
      <c r="I252" s="334">
        <v>323</v>
      </c>
      <c r="J252" s="334">
        <v>252</v>
      </c>
      <c r="K252" s="334">
        <v>236</v>
      </c>
      <c r="L252" s="334">
        <v>199</v>
      </c>
      <c r="M252" s="334">
        <v>633</v>
      </c>
      <c r="N252" s="334">
        <v>559</v>
      </c>
      <c r="O252" s="127">
        <f t="shared" si="43"/>
        <v>559</v>
      </c>
      <c r="P252" s="127">
        <f t="shared" si="44"/>
        <v>323</v>
      </c>
      <c r="Q252" s="127">
        <f t="shared" si="45"/>
        <v>323</v>
      </c>
      <c r="R252" s="127">
        <f t="shared" si="46"/>
        <v>252</v>
      </c>
      <c r="S252" s="127">
        <f t="shared" si="47"/>
        <v>252</v>
      </c>
      <c r="T252" s="127">
        <f t="shared" si="48"/>
        <v>252</v>
      </c>
    </row>
    <row r="253" spans="1:20" ht="15.75" hidden="1">
      <c r="A253" s="213">
        <v>4</v>
      </c>
      <c r="E253" s="117">
        <v>0.7</v>
      </c>
      <c r="F253" s="340" t="e">
        <f t="shared" si="42"/>
        <v>#NAME?</v>
      </c>
      <c r="G253" s="334">
        <v>553</v>
      </c>
      <c r="H253" s="334">
        <v>354</v>
      </c>
      <c r="I253" s="334">
        <v>453</v>
      </c>
      <c r="J253" s="334">
        <v>286</v>
      </c>
      <c r="K253" s="334">
        <v>236</v>
      </c>
      <c r="L253" s="334">
        <v>199</v>
      </c>
      <c r="M253" s="334">
        <v>652</v>
      </c>
      <c r="N253" s="334">
        <v>578</v>
      </c>
      <c r="O253" s="127">
        <f t="shared" si="43"/>
        <v>578</v>
      </c>
      <c r="P253" s="127">
        <f t="shared" si="44"/>
        <v>354</v>
      </c>
      <c r="Q253" s="127">
        <f t="shared" si="45"/>
        <v>453</v>
      </c>
      <c r="R253" s="127">
        <f t="shared" si="46"/>
        <v>286</v>
      </c>
      <c r="S253" s="127">
        <f t="shared" si="47"/>
        <v>286</v>
      </c>
      <c r="T253" s="127">
        <f t="shared" si="48"/>
        <v>286</v>
      </c>
    </row>
    <row r="254" spans="1:20" ht="15.75" hidden="1">
      <c r="A254" s="213">
        <v>4</v>
      </c>
      <c r="E254" s="117">
        <v>0.8</v>
      </c>
      <c r="F254" s="340" t="e">
        <f t="shared" si="42"/>
        <v>#NAME?</v>
      </c>
      <c r="G254" s="334">
        <v>664</v>
      </c>
      <c r="H254" s="334">
        <v>428</v>
      </c>
      <c r="I254" s="334">
        <v>491</v>
      </c>
      <c r="J254" s="334">
        <v>422</v>
      </c>
      <c r="K254" s="334">
        <v>348</v>
      </c>
      <c r="L254" s="334">
        <v>224</v>
      </c>
      <c r="M254" s="334">
        <v>689</v>
      </c>
      <c r="N254" s="334">
        <v>590</v>
      </c>
      <c r="O254" s="127">
        <f t="shared" si="43"/>
        <v>590</v>
      </c>
      <c r="P254" s="127">
        <f t="shared" si="44"/>
        <v>428</v>
      </c>
      <c r="Q254" s="127">
        <f t="shared" si="45"/>
        <v>491</v>
      </c>
      <c r="R254" s="127">
        <f t="shared" si="46"/>
        <v>422</v>
      </c>
      <c r="S254" s="127">
        <f t="shared" si="47"/>
        <v>422</v>
      </c>
      <c r="T254" s="127">
        <f t="shared" si="48"/>
        <v>422</v>
      </c>
    </row>
    <row r="255" spans="1:20" ht="15.75" hidden="1">
      <c r="A255" s="213">
        <v>4</v>
      </c>
      <c r="E255" s="117">
        <v>1</v>
      </c>
      <c r="F255" s="340" t="e">
        <f t="shared" si="42"/>
        <v>#NAME?</v>
      </c>
      <c r="G255" s="334">
        <v>826</v>
      </c>
      <c r="H255" s="334">
        <v>540</v>
      </c>
      <c r="I255" s="334">
        <v>509</v>
      </c>
      <c r="J255" s="334">
        <v>410</v>
      </c>
      <c r="K255" s="334">
        <v>385</v>
      </c>
      <c r="L255" s="334">
        <v>224</v>
      </c>
      <c r="M255" s="334">
        <v>733</v>
      </c>
      <c r="N255" s="334">
        <v>609</v>
      </c>
      <c r="O255" s="127">
        <f t="shared" si="43"/>
        <v>609</v>
      </c>
      <c r="P255" s="127">
        <f t="shared" si="44"/>
        <v>540</v>
      </c>
      <c r="Q255" s="127">
        <f t="shared" si="45"/>
        <v>509</v>
      </c>
      <c r="R255" s="127">
        <f t="shared" si="46"/>
        <v>410</v>
      </c>
      <c r="S255" s="127">
        <f t="shared" si="47"/>
        <v>410</v>
      </c>
      <c r="T255" s="127">
        <f t="shared" si="48"/>
        <v>410</v>
      </c>
    </row>
    <row r="256" spans="1:20" ht="15.75" hidden="1">
      <c r="A256" s="213">
        <v>4</v>
      </c>
      <c r="E256" s="117">
        <v>1.1</v>
      </c>
      <c r="F256" s="340" t="e">
        <f t="shared" si="42"/>
        <v>#NAME?</v>
      </c>
      <c r="G256" s="334">
        <v>925</v>
      </c>
      <c r="H256" s="334">
        <v>615</v>
      </c>
      <c r="I256" s="334">
        <v>534</v>
      </c>
      <c r="J256" s="334">
        <v>410</v>
      </c>
      <c r="K256" s="334">
        <v>397</v>
      </c>
      <c r="L256" s="334">
        <v>236</v>
      </c>
      <c r="M256" s="334">
        <v>764</v>
      </c>
      <c r="N256" s="334">
        <v>627</v>
      </c>
      <c r="O256" s="127">
        <f t="shared" si="43"/>
        <v>627</v>
      </c>
      <c r="P256" s="127">
        <f t="shared" si="44"/>
        <v>615</v>
      </c>
      <c r="Q256" s="127">
        <f t="shared" si="45"/>
        <v>534</v>
      </c>
      <c r="R256" s="127">
        <f t="shared" si="46"/>
        <v>410</v>
      </c>
      <c r="S256" s="127">
        <f t="shared" si="47"/>
        <v>410</v>
      </c>
      <c r="T256" s="127">
        <f t="shared" si="48"/>
        <v>410</v>
      </c>
    </row>
    <row r="257" spans="1:20" ht="16.5" hidden="1" thickBot="1">
      <c r="A257" s="213">
        <v>4</v>
      </c>
      <c r="E257" s="118">
        <v>1.2</v>
      </c>
      <c r="F257" s="340" t="e">
        <f t="shared" si="42"/>
        <v>#NAME?</v>
      </c>
      <c r="G257" s="334">
        <v>956</v>
      </c>
      <c r="H257" s="334">
        <v>633</v>
      </c>
      <c r="I257" s="334">
        <v>596</v>
      </c>
      <c r="J257" s="334">
        <v>416</v>
      </c>
      <c r="K257" s="334">
        <v>410</v>
      </c>
      <c r="L257" s="334">
        <v>236</v>
      </c>
      <c r="M257" s="334">
        <v>770</v>
      </c>
      <c r="N257" s="334">
        <v>633</v>
      </c>
      <c r="O257" s="127">
        <f t="shared" si="43"/>
        <v>633</v>
      </c>
      <c r="P257" s="127">
        <f t="shared" si="44"/>
        <v>633</v>
      </c>
      <c r="Q257" s="127">
        <f t="shared" si="45"/>
        <v>596</v>
      </c>
      <c r="R257" s="127">
        <f t="shared" si="46"/>
        <v>416</v>
      </c>
      <c r="S257" s="127">
        <f t="shared" si="47"/>
        <v>416</v>
      </c>
      <c r="T257" s="127">
        <f t="shared" si="48"/>
        <v>416</v>
      </c>
    </row>
    <row r="258" spans="1:20" s="208" customFormat="1" ht="15.75" hidden="1">
      <c r="A258" s="213">
        <v>4</v>
      </c>
      <c r="E258" s="209"/>
      <c r="F258" s="135"/>
      <c r="G258" s="135"/>
      <c r="H258" s="210"/>
      <c r="I258" s="211"/>
      <c r="J258" s="211"/>
      <c r="K258" s="135"/>
      <c r="L258" s="11"/>
      <c r="M258" s="125"/>
      <c r="N258" s="125"/>
      <c r="O258" s="125"/>
      <c r="P258" s="125"/>
      <c r="Q258" s="125"/>
      <c r="R258" s="125"/>
      <c r="S258" s="125"/>
      <c r="T258" s="125"/>
    </row>
    <row r="259" spans="1:20" s="208" customFormat="1" ht="15.75" hidden="1">
      <c r="A259" s="213">
        <v>4</v>
      </c>
      <c r="E259" s="209"/>
      <c r="F259" s="135" t="s">
        <v>392</v>
      </c>
      <c r="G259" s="135" t="e">
        <f>LOOKUP(F292,porantvar4,cod06cargosvar4feb11)</f>
        <v>#NAME?</v>
      </c>
      <c r="H259" s="210"/>
      <c r="I259" s="211"/>
      <c r="J259" s="211"/>
      <c r="K259" s="135"/>
      <c r="L259" s="11"/>
      <c r="M259" s="125"/>
      <c r="N259" s="125"/>
      <c r="O259" s="125"/>
      <c r="P259" s="125"/>
      <c r="Q259" s="125"/>
      <c r="R259" s="125"/>
      <c r="S259" s="125"/>
      <c r="T259" s="125"/>
    </row>
    <row r="260" spans="1:20" s="208" customFormat="1" ht="15.75" hidden="1">
      <c r="A260" s="213"/>
      <c r="E260" s="209"/>
      <c r="F260" s="135"/>
      <c r="G260" s="135"/>
      <c r="H260" s="210"/>
      <c r="I260" s="211"/>
      <c r="J260" s="211"/>
      <c r="K260" s="135"/>
      <c r="L260" s="11"/>
      <c r="M260" s="125"/>
      <c r="N260" s="125"/>
      <c r="O260" s="125"/>
      <c r="P260" s="125"/>
      <c r="Q260" s="125"/>
      <c r="R260" s="125"/>
      <c r="S260" s="125"/>
      <c r="T260" s="125"/>
    </row>
    <row r="261" spans="1:20" ht="16.5" hidden="1" thickBot="1">
      <c r="A261" s="213">
        <v>4</v>
      </c>
      <c r="F261" t="s">
        <v>354</v>
      </c>
      <c r="G261" s="10" t="s">
        <v>356</v>
      </c>
      <c r="H261" s="10" t="s">
        <v>357</v>
      </c>
      <c r="I261" s="124" t="s">
        <v>358</v>
      </c>
      <c r="J261" s="124" t="s">
        <v>359</v>
      </c>
      <c r="K261" s="124" t="s">
        <v>360</v>
      </c>
      <c r="L261" s="124" t="s">
        <v>361</v>
      </c>
      <c r="M261" s="124" t="s">
        <v>362</v>
      </c>
      <c r="N261" s="124" t="s">
        <v>363</v>
      </c>
      <c r="O261" s="126" t="s">
        <v>364</v>
      </c>
      <c r="P261" s="126">
        <v>1</v>
      </c>
      <c r="Q261" s="126">
        <v>2</v>
      </c>
      <c r="R261" s="126">
        <v>3</v>
      </c>
      <c r="S261" s="126">
        <v>4</v>
      </c>
      <c r="T261" s="126">
        <v>5</v>
      </c>
    </row>
    <row r="262" spans="1:20" ht="15.75" hidden="1">
      <c r="A262" s="213">
        <v>4</v>
      </c>
      <c r="E262" s="115">
        <v>0</v>
      </c>
      <c r="F262" s="340" t="e">
        <f aca="true" t="shared" si="49" ref="F262:F273">IF(puntosproljorvarios4&lt;620,T262,O262)</f>
        <v>#NAME?</v>
      </c>
      <c r="G262" s="10">
        <v>499</v>
      </c>
      <c r="H262" s="10">
        <v>121</v>
      </c>
      <c r="I262" s="10">
        <v>0</v>
      </c>
      <c r="J262" s="10">
        <v>0</v>
      </c>
      <c r="K262" s="10">
        <v>0</v>
      </c>
      <c r="L262" s="10">
        <v>0</v>
      </c>
      <c r="M262" s="10">
        <v>121</v>
      </c>
      <c r="N262" s="10">
        <v>121</v>
      </c>
      <c r="O262" s="127">
        <f aca="true" t="shared" si="50" ref="O262:O273">IF(punbasjubvarios4&gt;971,N262,M262)</f>
        <v>121</v>
      </c>
      <c r="P262" s="127">
        <f aca="true" t="shared" si="51" ref="P262:P273">IF(punbasjubvarios4&lt;972,G262,H262)</f>
        <v>121</v>
      </c>
      <c r="Q262" s="127">
        <f aca="true" t="shared" si="52" ref="Q262:Q273">IF(punbasjubvarios4&lt;1170,P262,I262)</f>
        <v>0</v>
      </c>
      <c r="R262" s="127">
        <f aca="true" t="shared" si="53" ref="R262:R273">IF(punbasjubvarios4&lt;1401,Q262,J262)</f>
        <v>0</v>
      </c>
      <c r="S262" s="127">
        <f aca="true" t="shared" si="54" ref="S262:S273">IF(punbasjubvarios4&lt;1943,R262,K262)</f>
        <v>0</v>
      </c>
      <c r="T262" s="127">
        <f aca="true" t="shared" si="55" ref="T262:T273">IF(punbasjubvarios4&lt;=2220,S262,L262)</f>
        <v>0</v>
      </c>
    </row>
    <row r="263" spans="1:20" ht="15.75" hidden="1">
      <c r="A263" s="213">
        <v>4</v>
      </c>
      <c r="E263" s="116">
        <v>0.1</v>
      </c>
      <c r="F263" s="340" t="e">
        <f t="shared" si="49"/>
        <v>#NAME?</v>
      </c>
      <c r="G263" s="10">
        <v>709</v>
      </c>
      <c r="H263" s="10">
        <v>137</v>
      </c>
      <c r="I263" s="10">
        <v>0</v>
      </c>
      <c r="J263" s="10">
        <v>0</v>
      </c>
      <c r="K263" s="10">
        <v>0</v>
      </c>
      <c r="L263" s="10">
        <v>0</v>
      </c>
      <c r="M263" s="10">
        <v>137</v>
      </c>
      <c r="N263" s="10">
        <v>137</v>
      </c>
      <c r="O263" s="127">
        <f t="shared" si="50"/>
        <v>137</v>
      </c>
      <c r="P263" s="127">
        <f t="shared" si="51"/>
        <v>137</v>
      </c>
      <c r="Q263" s="127">
        <f t="shared" si="52"/>
        <v>0</v>
      </c>
      <c r="R263" s="127">
        <f t="shared" si="53"/>
        <v>0</v>
      </c>
      <c r="S263" s="127">
        <f t="shared" si="54"/>
        <v>0</v>
      </c>
      <c r="T263" s="127">
        <f t="shared" si="55"/>
        <v>0</v>
      </c>
    </row>
    <row r="264" spans="1:20" ht="15.75" hidden="1">
      <c r="A264" s="213">
        <v>4</v>
      </c>
      <c r="E264" s="117">
        <v>0.15</v>
      </c>
      <c r="F264" s="340" t="e">
        <f t="shared" si="49"/>
        <v>#NAME?</v>
      </c>
      <c r="G264" s="10">
        <v>860</v>
      </c>
      <c r="H264" s="10">
        <v>273</v>
      </c>
      <c r="I264" s="10">
        <v>364</v>
      </c>
      <c r="J264" s="10">
        <v>293</v>
      </c>
      <c r="K264" s="10">
        <v>273</v>
      </c>
      <c r="L264" s="10">
        <v>0</v>
      </c>
      <c r="M264" s="10">
        <v>333</v>
      </c>
      <c r="N264" s="10">
        <v>333</v>
      </c>
      <c r="O264" s="127">
        <f t="shared" si="50"/>
        <v>333</v>
      </c>
      <c r="P264" s="127">
        <f t="shared" si="51"/>
        <v>273</v>
      </c>
      <c r="Q264" s="127">
        <f t="shared" si="52"/>
        <v>364</v>
      </c>
      <c r="R264" s="127">
        <f t="shared" si="53"/>
        <v>293</v>
      </c>
      <c r="S264" s="127">
        <f t="shared" si="54"/>
        <v>293</v>
      </c>
      <c r="T264" s="127">
        <f t="shared" si="55"/>
        <v>293</v>
      </c>
    </row>
    <row r="265" spans="1:20" ht="15.75" hidden="1">
      <c r="A265" s="213">
        <v>4</v>
      </c>
      <c r="E265" s="117">
        <v>0.3</v>
      </c>
      <c r="F265" s="340" t="e">
        <f t="shared" si="49"/>
        <v>#NAME?</v>
      </c>
      <c r="G265" s="10">
        <v>894</v>
      </c>
      <c r="H265" s="10">
        <v>295</v>
      </c>
      <c r="I265" s="10">
        <v>364</v>
      </c>
      <c r="J265" s="10">
        <v>293</v>
      </c>
      <c r="K265" s="10">
        <v>273</v>
      </c>
      <c r="L265" s="10">
        <v>0</v>
      </c>
      <c r="M265" s="10">
        <v>576</v>
      </c>
      <c r="N265" s="10">
        <v>531</v>
      </c>
      <c r="O265" s="127">
        <f t="shared" si="50"/>
        <v>531</v>
      </c>
      <c r="P265" s="127">
        <f t="shared" si="51"/>
        <v>295</v>
      </c>
      <c r="Q265" s="127">
        <f t="shared" si="52"/>
        <v>364</v>
      </c>
      <c r="R265" s="127">
        <f t="shared" si="53"/>
        <v>293</v>
      </c>
      <c r="S265" s="127">
        <f t="shared" si="54"/>
        <v>293</v>
      </c>
      <c r="T265" s="127">
        <f t="shared" si="55"/>
        <v>293</v>
      </c>
    </row>
    <row r="266" spans="1:20" ht="15.75" hidden="1">
      <c r="A266" s="213">
        <v>4</v>
      </c>
      <c r="E266" s="117">
        <v>0.4</v>
      </c>
      <c r="F266" s="340" t="e">
        <f t="shared" si="49"/>
        <v>#NAME?</v>
      </c>
      <c r="G266" s="10">
        <v>806</v>
      </c>
      <c r="H266" s="10">
        <v>318</v>
      </c>
      <c r="I266" s="10">
        <v>379</v>
      </c>
      <c r="J266" s="10">
        <v>303</v>
      </c>
      <c r="K266" s="10">
        <v>273</v>
      </c>
      <c r="L266" s="10">
        <v>212</v>
      </c>
      <c r="M266" s="10">
        <v>666</v>
      </c>
      <c r="N266" s="10">
        <v>606</v>
      </c>
      <c r="O266" s="127">
        <f t="shared" si="50"/>
        <v>606</v>
      </c>
      <c r="P266" s="127">
        <f t="shared" si="51"/>
        <v>318</v>
      </c>
      <c r="Q266" s="127">
        <f t="shared" si="52"/>
        <v>379</v>
      </c>
      <c r="R266" s="127">
        <f t="shared" si="53"/>
        <v>303</v>
      </c>
      <c r="S266" s="127">
        <f t="shared" si="54"/>
        <v>303</v>
      </c>
      <c r="T266" s="127">
        <f t="shared" si="55"/>
        <v>303</v>
      </c>
    </row>
    <row r="267" spans="1:20" ht="15.75" hidden="1">
      <c r="A267" s="213">
        <v>4</v>
      </c>
      <c r="E267" s="117">
        <v>0.5</v>
      </c>
      <c r="F267" s="340" t="e">
        <f t="shared" si="49"/>
        <v>#NAME?</v>
      </c>
      <c r="G267" s="10">
        <v>702</v>
      </c>
      <c r="H267" s="10">
        <v>349</v>
      </c>
      <c r="I267" s="10">
        <v>379</v>
      </c>
      <c r="J267" s="10">
        <v>303</v>
      </c>
      <c r="K267" s="10">
        <v>273</v>
      </c>
      <c r="L267" s="10">
        <v>212</v>
      </c>
      <c r="M267" s="10">
        <v>720</v>
      </c>
      <c r="N267" s="10">
        <v>659</v>
      </c>
      <c r="O267" s="127">
        <f t="shared" si="50"/>
        <v>659</v>
      </c>
      <c r="P267" s="127">
        <f t="shared" si="51"/>
        <v>349</v>
      </c>
      <c r="Q267" s="127">
        <f t="shared" si="52"/>
        <v>379</v>
      </c>
      <c r="R267" s="127">
        <f t="shared" si="53"/>
        <v>303</v>
      </c>
      <c r="S267" s="127">
        <f t="shared" si="54"/>
        <v>303</v>
      </c>
      <c r="T267" s="127">
        <f t="shared" si="55"/>
        <v>303</v>
      </c>
    </row>
    <row r="268" spans="1:20" ht="15.75" hidden="1">
      <c r="A268" s="213">
        <v>4</v>
      </c>
      <c r="E268" s="117">
        <v>0.6</v>
      </c>
      <c r="F268" s="340" t="e">
        <f t="shared" si="49"/>
        <v>#NAME?</v>
      </c>
      <c r="G268" s="10">
        <v>705</v>
      </c>
      <c r="H268" s="10">
        <v>394</v>
      </c>
      <c r="I268" s="10">
        <v>394</v>
      </c>
      <c r="J268" s="10">
        <v>307</v>
      </c>
      <c r="K268" s="10">
        <v>288</v>
      </c>
      <c r="L268" s="10">
        <v>243</v>
      </c>
      <c r="M268" s="10">
        <v>772</v>
      </c>
      <c r="N268" s="10">
        <v>682</v>
      </c>
      <c r="O268" s="127">
        <f t="shared" si="50"/>
        <v>682</v>
      </c>
      <c r="P268" s="127">
        <f t="shared" si="51"/>
        <v>394</v>
      </c>
      <c r="Q268" s="127">
        <f t="shared" si="52"/>
        <v>394</v>
      </c>
      <c r="R268" s="127">
        <f t="shared" si="53"/>
        <v>307</v>
      </c>
      <c r="S268" s="127">
        <f t="shared" si="54"/>
        <v>307</v>
      </c>
      <c r="T268" s="127">
        <f t="shared" si="55"/>
        <v>307</v>
      </c>
    </row>
    <row r="269" spans="1:20" ht="15.75" hidden="1">
      <c r="A269" s="213">
        <v>4</v>
      </c>
      <c r="E269" s="117">
        <v>0.7</v>
      </c>
      <c r="F269" s="340" t="e">
        <f t="shared" si="49"/>
        <v>#NAME?</v>
      </c>
      <c r="G269" s="10">
        <v>675</v>
      </c>
      <c r="H269" s="10">
        <v>432</v>
      </c>
      <c r="I269" s="10">
        <v>553</v>
      </c>
      <c r="J269" s="10">
        <v>349</v>
      </c>
      <c r="K269" s="10">
        <v>288</v>
      </c>
      <c r="L269" s="10">
        <v>243</v>
      </c>
      <c r="M269" s="10">
        <v>795</v>
      </c>
      <c r="N269" s="10">
        <v>705</v>
      </c>
      <c r="O269" s="127">
        <f t="shared" si="50"/>
        <v>705</v>
      </c>
      <c r="P269" s="127">
        <f t="shared" si="51"/>
        <v>432</v>
      </c>
      <c r="Q269" s="127">
        <f t="shared" si="52"/>
        <v>553</v>
      </c>
      <c r="R269" s="127">
        <f t="shared" si="53"/>
        <v>349</v>
      </c>
      <c r="S269" s="127">
        <f t="shared" si="54"/>
        <v>349</v>
      </c>
      <c r="T269" s="127">
        <f t="shared" si="55"/>
        <v>349</v>
      </c>
    </row>
    <row r="270" spans="1:20" ht="15.75" hidden="1">
      <c r="A270" s="213">
        <v>4</v>
      </c>
      <c r="E270" s="117">
        <v>0.8</v>
      </c>
      <c r="F270" s="340" t="e">
        <f t="shared" si="49"/>
        <v>#NAME?</v>
      </c>
      <c r="G270" s="10">
        <v>810</v>
      </c>
      <c r="H270" s="10">
        <v>522</v>
      </c>
      <c r="I270" s="10">
        <v>599</v>
      </c>
      <c r="J270" s="10">
        <v>515</v>
      </c>
      <c r="K270" s="10">
        <v>425</v>
      </c>
      <c r="L270" s="10">
        <v>273</v>
      </c>
      <c r="M270" s="10">
        <v>841</v>
      </c>
      <c r="N270" s="10">
        <v>720</v>
      </c>
      <c r="O270" s="127">
        <f t="shared" si="50"/>
        <v>720</v>
      </c>
      <c r="P270" s="127">
        <f t="shared" si="51"/>
        <v>522</v>
      </c>
      <c r="Q270" s="127">
        <f t="shared" si="52"/>
        <v>599</v>
      </c>
      <c r="R270" s="127">
        <f t="shared" si="53"/>
        <v>515</v>
      </c>
      <c r="S270" s="127">
        <f t="shared" si="54"/>
        <v>515</v>
      </c>
      <c r="T270" s="127">
        <f t="shared" si="55"/>
        <v>515</v>
      </c>
    </row>
    <row r="271" spans="1:20" ht="15.75" hidden="1">
      <c r="A271" s="213">
        <v>4</v>
      </c>
      <c r="E271" s="117">
        <v>1</v>
      </c>
      <c r="F271" s="340" t="e">
        <f t="shared" si="49"/>
        <v>#NAME?</v>
      </c>
      <c r="G271" s="10">
        <v>1008</v>
      </c>
      <c r="H271" s="10">
        <v>659</v>
      </c>
      <c r="I271" s="10">
        <v>621</v>
      </c>
      <c r="J271" s="10">
        <v>500</v>
      </c>
      <c r="K271" s="10">
        <v>470</v>
      </c>
      <c r="L271" s="10">
        <v>273</v>
      </c>
      <c r="M271" s="10">
        <v>894</v>
      </c>
      <c r="N271" s="10">
        <v>743</v>
      </c>
      <c r="O271" s="127">
        <f t="shared" si="50"/>
        <v>743</v>
      </c>
      <c r="P271" s="127">
        <f t="shared" si="51"/>
        <v>659</v>
      </c>
      <c r="Q271" s="127">
        <f t="shared" si="52"/>
        <v>621</v>
      </c>
      <c r="R271" s="127">
        <f t="shared" si="53"/>
        <v>500</v>
      </c>
      <c r="S271" s="127">
        <f t="shared" si="54"/>
        <v>500</v>
      </c>
      <c r="T271" s="127">
        <f t="shared" si="55"/>
        <v>500</v>
      </c>
    </row>
    <row r="272" spans="1:20" ht="15.75" hidden="1">
      <c r="A272" s="213">
        <v>4</v>
      </c>
      <c r="E272" s="117">
        <v>1.1</v>
      </c>
      <c r="F272" s="340" t="e">
        <f t="shared" si="49"/>
        <v>#NAME?</v>
      </c>
      <c r="G272" s="368">
        <v>1129</v>
      </c>
      <c r="H272" s="369">
        <v>750</v>
      </c>
      <c r="I272" s="10">
        <v>651</v>
      </c>
      <c r="J272" s="10">
        <v>500</v>
      </c>
      <c r="K272" s="10">
        <v>484</v>
      </c>
      <c r="L272" s="10">
        <v>288</v>
      </c>
      <c r="M272" s="10">
        <v>932</v>
      </c>
      <c r="N272" s="10">
        <v>765</v>
      </c>
      <c r="O272" s="127">
        <f t="shared" si="50"/>
        <v>765</v>
      </c>
      <c r="P272" s="127">
        <f t="shared" si="51"/>
        <v>750</v>
      </c>
      <c r="Q272" s="127">
        <f t="shared" si="52"/>
        <v>651</v>
      </c>
      <c r="R272" s="127">
        <f t="shared" si="53"/>
        <v>500</v>
      </c>
      <c r="S272" s="127">
        <f t="shared" si="54"/>
        <v>500</v>
      </c>
      <c r="T272" s="127">
        <f t="shared" si="55"/>
        <v>500</v>
      </c>
    </row>
    <row r="273" spans="1:20" ht="16.5" hidden="1" thickBot="1">
      <c r="A273" s="213">
        <v>4</v>
      </c>
      <c r="E273" s="118">
        <v>1.2</v>
      </c>
      <c r="F273" s="340" t="e">
        <f t="shared" si="49"/>
        <v>#NAME?</v>
      </c>
      <c r="G273" s="10">
        <v>1166</v>
      </c>
      <c r="H273" s="10">
        <v>772</v>
      </c>
      <c r="I273" s="10">
        <v>727</v>
      </c>
      <c r="J273" s="10">
        <v>508</v>
      </c>
      <c r="K273" s="10">
        <v>500</v>
      </c>
      <c r="L273" s="10">
        <v>288</v>
      </c>
      <c r="M273" s="10">
        <v>939</v>
      </c>
      <c r="N273" s="10">
        <v>772</v>
      </c>
      <c r="O273" s="127">
        <f t="shared" si="50"/>
        <v>772</v>
      </c>
      <c r="P273" s="127">
        <f t="shared" si="51"/>
        <v>772</v>
      </c>
      <c r="Q273" s="127">
        <f t="shared" si="52"/>
        <v>727</v>
      </c>
      <c r="R273" s="127">
        <f t="shared" si="53"/>
        <v>508</v>
      </c>
      <c r="S273" s="127">
        <f t="shared" si="54"/>
        <v>508</v>
      </c>
      <c r="T273" s="127">
        <f t="shared" si="55"/>
        <v>508</v>
      </c>
    </row>
    <row r="274" spans="1:20" s="208" customFormat="1" ht="15.75" hidden="1">
      <c r="A274" s="213">
        <v>4</v>
      </c>
      <c r="E274" s="209"/>
      <c r="F274" s="135"/>
      <c r="G274" s="135"/>
      <c r="H274" s="210"/>
      <c r="I274" s="211"/>
      <c r="J274" s="211"/>
      <c r="K274" s="135"/>
      <c r="L274" s="11"/>
      <c r="M274" s="125"/>
      <c r="N274" s="125"/>
      <c r="O274" s="125"/>
      <c r="P274" s="125"/>
      <c r="Q274" s="125"/>
      <c r="R274" s="125"/>
      <c r="S274" s="125"/>
      <c r="T274" s="125"/>
    </row>
    <row r="275" spans="1:20" s="208" customFormat="1" ht="15.75" hidden="1">
      <c r="A275" s="213">
        <v>4</v>
      </c>
      <c r="E275" s="209"/>
      <c r="F275" s="135" t="s">
        <v>393</v>
      </c>
      <c r="G275" s="135" t="e">
        <f>LOOKUP(F292,porantvar4,cod06cargosvar4mar11)</f>
        <v>#NAME?</v>
      </c>
      <c r="H275" s="210"/>
      <c r="I275" s="211"/>
      <c r="J275" s="211"/>
      <c r="K275" s="135"/>
      <c r="L275" s="11"/>
      <c r="M275" s="125"/>
      <c r="N275" s="125"/>
      <c r="O275" s="125"/>
      <c r="P275" s="125"/>
      <c r="Q275" s="125"/>
      <c r="R275" s="125"/>
      <c r="S275" s="125"/>
      <c r="T275" s="125"/>
    </row>
    <row r="276" spans="1:20" s="208" customFormat="1" ht="15.75" hidden="1">
      <c r="A276" s="213"/>
      <c r="E276" s="209"/>
      <c r="F276" s="135"/>
      <c r="G276" s="135"/>
      <c r="H276" s="210"/>
      <c r="I276" s="211"/>
      <c r="J276" s="211"/>
      <c r="K276" s="135"/>
      <c r="L276" s="11"/>
      <c r="M276" s="125"/>
      <c r="N276" s="125"/>
      <c r="O276" s="125"/>
      <c r="P276" s="125"/>
      <c r="Q276" s="125"/>
      <c r="R276" s="125"/>
      <c r="S276" s="125"/>
      <c r="T276" s="125"/>
    </row>
    <row r="277" spans="1:20" s="208" customFormat="1" ht="15.75" hidden="1">
      <c r="A277" s="213"/>
      <c r="E277" s="209"/>
      <c r="F277" s="135"/>
      <c r="G277" s="135"/>
      <c r="H277" s="210"/>
      <c r="I277" s="211"/>
      <c r="J277" s="211"/>
      <c r="K277" s="135"/>
      <c r="L277" s="11"/>
      <c r="M277" s="125"/>
      <c r="N277" s="125"/>
      <c r="O277" s="125"/>
      <c r="P277" s="125"/>
      <c r="Q277" s="125"/>
      <c r="R277" s="125"/>
      <c r="S277" s="125"/>
      <c r="T277" s="125"/>
    </row>
    <row r="278" s="213" customFormat="1" ht="12.75" hidden="1">
      <c r="A278" s="213">
        <v>4</v>
      </c>
    </row>
    <row r="279" ht="12.75" hidden="1">
      <c r="A279" s="213">
        <v>4</v>
      </c>
    </row>
    <row r="280" spans="1:15" ht="12.75">
      <c r="A280" s="247">
        <v>4</v>
      </c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</row>
    <row r="281" spans="1:17" ht="20.25">
      <c r="A281" s="247">
        <v>4</v>
      </c>
      <c r="B281" s="163"/>
      <c r="C281" s="164"/>
      <c r="D281" s="164"/>
      <c r="E281" s="73" t="s">
        <v>349</v>
      </c>
      <c r="F281" s="10"/>
      <c r="G281" s="10"/>
      <c r="H281" s="164"/>
      <c r="I281" s="164"/>
      <c r="J281" s="164"/>
      <c r="K281" s="164"/>
      <c r="L281" s="164"/>
      <c r="M281" s="164"/>
      <c r="N281" s="162"/>
      <c r="O281" s="255"/>
      <c r="P281" s="135"/>
      <c r="Q281" s="135"/>
    </row>
    <row r="282" spans="1:17" ht="12.75">
      <c r="A282" s="247">
        <v>4</v>
      </c>
      <c r="B282" s="163"/>
      <c r="C282" s="163"/>
      <c r="D282" s="163"/>
      <c r="E282" s="163"/>
      <c r="F282" s="163"/>
      <c r="G282" s="163"/>
      <c r="H282" s="250"/>
      <c r="I282" s="163"/>
      <c r="J282" s="163"/>
      <c r="K282" s="163"/>
      <c r="L282" s="163"/>
      <c r="M282" s="163"/>
      <c r="N282" s="162"/>
      <c r="O282" s="255"/>
      <c r="P282" s="135"/>
      <c r="Q282" s="135"/>
    </row>
    <row r="283" spans="1:17" ht="12.75">
      <c r="A283" s="247">
        <v>4</v>
      </c>
      <c r="B283" s="248"/>
      <c r="C283" s="248"/>
      <c r="D283" s="37" t="s">
        <v>36</v>
      </c>
      <c r="E283" s="37" t="s">
        <v>316</v>
      </c>
      <c r="F283" s="37" t="s">
        <v>317</v>
      </c>
      <c r="G283" s="37" t="s">
        <v>318</v>
      </c>
      <c r="H283" s="37" t="s">
        <v>319</v>
      </c>
      <c r="I283" s="93" t="s">
        <v>365</v>
      </c>
      <c r="J283" s="402" t="s">
        <v>394</v>
      </c>
      <c r="K283" s="163"/>
      <c r="L283" s="163"/>
      <c r="M283" s="163"/>
      <c r="N283" s="162"/>
      <c r="O283" s="255"/>
      <c r="P283" s="135"/>
      <c r="Q283" s="135"/>
    </row>
    <row r="284" spans="1:17" ht="16.5" thickBot="1">
      <c r="A284" s="247">
        <v>4</v>
      </c>
      <c r="B284" s="248"/>
      <c r="C284" s="248"/>
      <c r="D284" s="109">
        <v>727</v>
      </c>
      <c r="E284" s="74">
        <f>LOOKUP(D284,[0]!numerocargo,[0]!puntosbasicoscargo)</f>
        <v>1600</v>
      </c>
      <c r="F284" s="74" t="e">
        <f>LOOKUP(D284,[0]!numerocargo,[0]!tardifcargo)</f>
        <v>#NAME?</v>
      </c>
      <c r="G284" s="74">
        <f>LOOKUP(D284,[0]!numerocargo,[0]!proljorcargo)</f>
        <v>1921</v>
      </c>
      <c r="H284" s="74" t="e">
        <f>LOOKUP(D284,[0]!numerocargo,[0]!jorcomcargo)</f>
        <v>#NAME?</v>
      </c>
      <c r="I284" s="37">
        <f>LOOKUP(D284,Cargos!A1:A337,puntoscompbasico)</f>
        <v>76</v>
      </c>
      <c r="J284" s="401" t="e">
        <f>LOOKUP(D284,Cargos!A1:A337,puntosadicdir)</f>
        <v>#REF!</v>
      </c>
      <c r="K284" s="163"/>
      <c r="L284" s="163"/>
      <c r="M284" s="163"/>
      <c r="N284" s="162"/>
      <c r="O284" s="255"/>
      <c r="P284" s="135"/>
      <c r="Q284" s="135"/>
    </row>
    <row r="285" spans="1:17" ht="13.5" thickBot="1">
      <c r="A285" s="247">
        <v>4</v>
      </c>
      <c r="B285" s="248"/>
      <c r="C285" s="248"/>
      <c r="D285" s="75" t="s">
        <v>37</v>
      </c>
      <c r="E285" s="76" t="str">
        <f>LOOKUP(D284,[0]!numerocargo,[0]!nombrecargo)</f>
        <v> VICEDIRECTOR ESCUELA 2DA CATEGORIA</v>
      </c>
      <c r="F285" s="36"/>
      <c r="G285" s="36"/>
      <c r="H285" s="55"/>
      <c r="I285" s="163"/>
      <c r="J285" s="163"/>
      <c r="K285" s="163"/>
      <c r="L285" s="163"/>
      <c r="M285" s="163"/>
      <c r="N285" s="162"/>
      <c r="O285" s="255"/>
      <c r="P285" s="135"/>
      <c r="Q285" s="135"/>
    </row>
    <row r="286" spans="1:17" ht="13.5" thickBot="1">
      <c r="A286" s="247">
        <v>4</v>
      </c>
      <c r="B286" s="248"/>
      <c r="C286" s="248"/>
      <c r="D286" s="249"/>
      <c r="E286" s="250"/>
      <c r="F286" s="163"/>
      <c r="G286" s="163"/>
      <c r="H286" s="163"/>
      <c r="I286" s="120" t="s">
        <v>339</v>
      </c>
      <c r="J286" s="256"/>
      <c r="K286" s="256"/>
      <c r="L286" s="256"/>
      <c r="M286" s="163"/>
      <c r="N286" s="163"/>
      <c r="O286" s="163"/>
      <c r="P286" s="10"/>
      <c r="Q286" s="10"/>
    </row>
    <row r="287" spans="1:17" ht="19.5" thickBot="1" thickTop="1">
      <c r="A287" s="247">
        <v>4</v>
      </c>
      <c r="B287" s="248"/>
      <c r="C287" s="248"/>
      <c r="D287" s="136" t="s">
        <v>333</v>
      </c>
      <c r="E287" s="114"/>
      <c r="F287" s="114"/>
      <c r="G287" s="114"/>
      <c r="H287" s="137">
        <v>10</v>
      </c>
      <c r="I287" s="121">
        <f>H287/120</f>
        <v>0.08333333333333333</v>
      </c>
      <c r="J287" s="250"/>
      <c r="K287" s="250"/>
      <c r="L287" s="250"/>
      <c r="M287" s="163"/>
      <c r="N287" s="163"/>
      <c r="O287" s="163"/>
      <c r="P287" s="10"/>
      <c r="Q287" s="10"/>
    </row>
    <row r="288" spans="1:17" ht="17.25" thickBot="1" thickTop="1">
      <c r="A288" s="247">
        <v>4</v>
      </c>
      <c r="B288" s="249"/>
      <c r="C288" s="250"/>
      <c r="D288" s="163"/>
      <c r="E288" s="163"/>
      <c r="F288" s="317"/>
      <c r="G288" s="163"/>
      <c r="H288" s="413"/>
      <c r="I288" s="163"/>
      <c r="J288" s="163"/>
      <c r="K288" s="163"/>
      <c r="L288" s="163"/>
      <c r="M288" s="163"/>
      <c r="N288" s="163"/>
      <c r="O288" s="163"/>
      <c r="P288" s="10"/>
      <c r="Q288" s="10"/>
    </row>
    <row r="289" spans="1:17" ht="17.25" thickBot="1" thickTop="1">
      <c r="A289" s="247">
        <v>4</v>
      </c>
      <c r="B289" s="249"/>
      <c r="C289" s="248"/>
      <c r="D289" s="112" t="s">
        <v>341</v>
      </c>
      <c r="E289" s="123">
        <v>0</v>
      </c>
      <c r="F289" s="317"/>
      <c r="G289" s="163"/>
      <c r="H289" s="250"/>
      <c r="I289" s="163"/>
      <c r="J289" s="163"/>
      <c r="K289" s="163"/>
      <c r="L289" s="163"/>
      <c r="M289" s="163"/>
      <c r="N289" s="163"/>
      <c r="O289" s="163"/>
      <c r="P289" s="10"/>
      <c r="Q289" s="10"/>
    </row>
    <row r="290" spans="1:17" ht="14.25" thickBot="1" thickTop="1">
      <c r="A290" s="247">
        <v>4</v>
      </c>
      <c r="B290" s="249"/>
      <c r="C290" s="250"/>
      <c r="D290" s="163"/>
      <c r="E290" s="163"/>
      <c r="F290" s="163"/>
      <c r="G290" s="163"/>
      <c r="H290" s="250"/>
      <c r="I290" s="163"/>
      <c r="J290" s="163"/>
      <c r="K290" s="163"/>
      <c r="L290" s="163"/>
      <c r="M290" s="163"/>
      <c r="N290" s="163"/>
      <c r="O290" s="163"/>
      <c r="P290" s="10"/>
      <c r="Q290" s="10"/>
    </row>
    <row r="291" spans="1:17" ht="16.5" thickBot="1">
      <c r="A291" s="247">
        <v>4</v>
      </c>
      <c r="B291" s="163"/>
      <c r="C291" s="164"/>
      <c r="D291" s="77" t="s">
        <v>13</v>
      </c>
      <c r="E291" s="36"/>
      <c r="F291" s="78" t="e">
        <f>E284*indicesep2010</f>
        <v>#NAME?</v>
      </c>
      <c r="G291" s="10"/>
      <c r="H291" s="10"/>
      <c r="I291" s="164"/>
      <c r="J291" s="164"/>
      <c r="K291" s="164"/>
      <c r="L291" s="164"/>
      <c r="M291" s="165"/>
      <c r="N291" s="165"/>
      <c r="O291" s="164"/>
      <c r="P291" s="10"/>
      <c r="Q291" s="10"/>
    </row>
    <row r="292" spans="1:17" ht="16.5" thickBot="1">
      <c r="A292" s="247">
        <v>4</v>
      </c>
      <c r="B292" s="163"/>
      <c r="C292" s="164"/>
      <c r="D292" s="77" t="s">
        <v>14</v>
      </c>
      <c r="E292" s="36"/>
      <c r="F292" s="111">
        <v>1.2</v>
      </c>
      <c r="G292" s="10" t="s">
        <v>15</v>
      </c>
      <c r="H292" s="10"/>
      <c r="I292" s="164"/>
      <c r="J292" s="164"/>
      <c r="K292" s="164"/>
      <c r="L292" s="164"/>
      <c r="M292" s="164"/>
      <c r="N292" s="165"/>
      <c r="O292" s="164"/>
      <c r="P292" s="10"/>
      <c r="Q292" s="10"/>
    </row>
    <row r="293" spans="1:17" ht="15.75">
      <c r="A293" s="247">
        <v>4</v>
      </c>
      <c r="B293" s="163"/>
      <c r="C293" s="164"/>
      <c r="D293" s="163"/>
      <c r="E293" s="163"/>
      <c r="F293" s="166"/>
      <c r="G293" s="164"/>
      <c r="H293" s="164"/>
      <c r="I293" s="164"/>
      <c r="J293" s="164"/>
      <c r="K293" s="164"/>
      <c r="L293" s="164"/>
      <c r="M293" s="164"/>
      <c r="N293" s="167"/>
      <c r="O293" s="164"/>
      <c r="P293" s="10"/>
      <c r="Q293" s="10"/>
    </row>
    <row r="294" spans="1:17" ht="18.75" hidden="1" thickBot="1">
      <c r="A294" s="247">
        <v>4</v>
      </c>
      <c r="B294" s="163"/>
      <c r="C294" s="164"/>
      <c r="D294" s="80" t="s">
        <v>16</v>
      </c>
      <c r="E294" s="80"/>
      <c r="F294" s="81">
        <f>E284</f>
        <v>1600</v>
      </c>
      <c r="G294" s="10" t="s">
        <v>17</v>
      </c>
      <c r="H294" s="164"/>
      <c r="I294" s="79" t="e">
        <f>H284+G284</f>
        <v>#NAME?</v>
      </c>
      <c r="J294" s="165"/>
      <c r="K294" s="165"/>
      <c r="L294" s="165"/>
      <c r="M294" s="163"/>
      <c r="N294" s="164"/>
      <c r="O294" s="164"/>
      <c r="P294" s="10"/>
      <c r="Q294" s="10"/>
    </row>
    <row r="295" spans="1:17" ht="15.75" hidden="1">
      <c r="A295" s="247">
        <v>4</v>
      </c>
      <c r="B295" s="163"/>
      <c r="C295" s="164"/>
      <c r="D295" s="163"/>
      <c r="E295" s="163"/>
      <c r="F295" s="166"/>
      <c r="G295" s="164"/>
      <c r="H295" s="164"/>
      <c r="I295" s="163"/>
      <c r="J295" s="163"/>
      <c r="K295" s="163"/>
      <c r="L295" s="163"/>
      <c r="M295" s="318"/>
      <c r="N295" s="164"/>
      <c r="O295" s="164"/>
      <c r="P295" s="10"/>
      <c r="Q295" s="10"/>
    </row>
    <row r="296" spans="1:15" ht="15.75" hidden="1">
      <c r="A296" s="247">
        <v>4</v>
      </c>
      <c r="B296" s="163"/>
      <c r="C296" s="164"/>
      <c r="D296" s="10"/>
      <c r="E296" s="128" t="s">
        <v>384</v>
      </c>
      <c r="F296" s="10"/>
      <c r="G296" s="133"/>
      <c r="H296" s="10"/>
      <c r="I296" s="128" t="s">
        <v>385</v>
      </c>
      <c r="J296" s="10"/>
      <c r="K296" s="248"/>
      <c r="L296" s="11"/>
      <c r="M296" s="384"/>
      <c r="N296" s="11"/>
      <c r="O296" s="248"/>
    </row>
    <row r="297" spans="1:15" ht="12.75" hidden="1">
      <c r="A297" s="247">
        <v>4</v>
      </c>
      <c r="B297" s="163"/>
      <c r="C297" s="248"/>
      <c r="D297" s="17">
        <v>400</v>
      </c>
      <c r="E297" s="17" t="s">
        <v>18</v>
      </c>
      <c r="F297" s="82" t="e">
        <f>punbasjubvarios4*indicesep2010*porjubvarcar*frac4</f>
        <v>#NAME?</v>
      </c>
      <c r="G297" s="248"/>
      <c r="H297" s="17">
        <v>400</v>
      </c>
      <c r="I297" s="17" t="s">
        <v>18</v>
      </c>
      <c r="J297" s="82" t="e">
        <f>punbasjubvarios4*indicemar2011*porjubvarcar*frac4</f>
        <v>#NAME?</v>
      </c>
      <c r="K297" s="248"/>
      <c r="L297" s="11"/>
      <c r="M297" s="11"/>
      <c r="N297" s="385"/>
      <c r="O297" s="248"/>
    </row>
    <row r="298" spans="1:15" ht="12.75" hidden="1">
      <c r="A298" s="247">
        <v>4</v>
      </c>
      <c r="B298" s="163"/>
      <c r="C298" s="248"/>
      <c r="D298" s="17">
        <v>542</v>
      </c>
      <c r="E298" s="17" t="s">
        <v>370</v>
      </c>
      <c r="F298" s="195" t="e">
        <f>compbasicovarios4*indicesep2010*porjubvarcar*frac4</f>
        <v>#NAME?</v>
      </c>
      <c r="G298" s="248"/>
      <c r="H298" s="17">
        <v>542</v>
      </c>
      <c r="I298" s="17" t="s">
        <v>370</v>
      </c>
      <c r="J298" s="195" t="e">
        <f>compbasicovarios4*indicemar2011*porjubvarcar*frac4</f>
        <v>#NAME?</v>
      </c>
      <c r="K298" s="248"/>
      <c r="L298" s="11"/>
      <c r="M298" s="11"/>
      <c r="N298" s="385"/>
      <c r="O298" s="248"/>
    </row>
    <row r="299" spans="1:15" ht="12.75" hidden="1">
      <c r="A299" s="247"/>
      <c r="B299" s="163"/>
      <c r="C299" s="248"/>
      <c r="D299" s="370"/>
      <c r="E299" s="370"/>
      <c r="F299" s="403"/>
      <c r="G299" s="248"/>
      <c r="H299" s="375" t="s">
        <v>383</v>
      </c>
      <c r="I299" s="376" t="s">
        <v>382</v>
      </c>
      <c r="J299" s="400" t="e">
        <f>adicdirvarios4*indicemar2011*porjubvarcar*frac4</f>
        <v>#REF!</v>
      </c>
      <c r="K299" s="248"/>
      <c r="L299" s="11"/>
      <c r="M299" s="11"/>
      <c r="N299" s="385"/>
      <c r="O299" s="248"/>
    </row>
    <row r="300" spans="1:14" ht="12.75" hidden="1">
      <c r="A300" s="247">
        <v>4</v>
      </c>
      <c r="B300" s="163"/>
      <c r="C300" s="248"/>
      <c r="D300" s="17">
        <v>404</v>
      </c>
      <c r="E300" s="17" t="s">
        <v>321</v>
      </c>
      <c r="F300" s="82" t="e">
        <f>puntardifvar4*indicesep2010*porjubvarcar*frac4</f>
        <v>#NAME?</v>
      </c>
      <c r="G300" s="248"/>
      <c r="H300" s="17">
        <v>404</v>
      </c>
      <c r="I300" s="17" t="s">
        <v>321</v>
      </c>
      <c r="J300" s="82" t="e">
        <f>puntardifvar4*indicemar2011*porjubvarcar*frac4</f>
        <v>#NAME?</v>
      </c>
      <c r="L300" s="11"/>
      <c r="M300" s="11"/>
      <c r="N300" s="385"/>
    </row>
    <row r="301" spans="1:14" ht="12.75" hidden="1">
      <c r="A301" s="247">
        <v>4</v>
      </c>
      <c r="B301" s="163"/>
      <c r="C301" s="248"/>
      <c r="D301" s="17">
        <v>406</v>
      </c>
      <c r="E301" s="17" t="s">
        <v>19</v>
      </c>
      <c r="F301" s="82" t="e">
        <f>(F297+F298+F300+F303)*F292</f>
        <v>#NAME?</v>
      </c>
      <c r="G301" s="248"/>
      <c r="H301" s="17">
        <v>406</v>
      </c>
      <c r="I301" s="17" t="s">
        <v>19</v>
      </c>
      <c r="J301" s="82" t="e">
        <f>(J297+J298+J300+J303)*F292</f>
        <v>#NAME?</v>
      </c>
      <c r="L301" s="11"/>
      <c r="M301" s="11"/>
      <c r="N301" s="385"/>
    </row>
    <row r="302" spans="1:14" ht="12.75" hidden="1">
      <c r="A302" s="247">
        <v>4</v>
      </c>
      <c r="B302" s="163"/>
      <c r="C302" s="248"/>
      <c r="D302" s="17">
        <v>408</v>
      </c>
      <c r="E302" s="17" t="s">
        <v>340</v>
      </c>
      <c r="F302" s="82" t="e">
        <f>(F297+F298+F300+F303)*E289</f>
        <v>#NAME?</v>
      </c>
      <c r="G302" s="248"/>
      <c r="H302" s="17">
        <v>408</v>
      </c>
      <c r="I302" s="17" t="s">
        <v>340</v>
      </c>
      <c r="J302" s="82" t="e">
        <f>(J297+J298+J300+J303)*E289</f>
        <v>#NAME?</v>
      </c>
      <c r="L302" s="11"/>
      <c r="M302" s="11"/>
      <c r="N302" s="385"/>
    </row>
    <row r="303" spans="1:14" ht="12.75" hidden="1">
      <c r="A303" s="247">
        <v>4</v>
      </c>
      <c r="B303" s="163"/>
      <c r="C303" s="248"/>
      <c r="D303" s="17">
        <v>416</v>
      </c>
      <c r="E303" s="90" t="s">
        <v>322</v>
      </c>
      <c r="F303" s="82" t="e">
        <f>puntosproljorvarios4*proljorsep2010*porjubvarcar*frac4</f>
        <v>#NAME?</v>
      </c>
      <c r="G303" s="248"/>
      <c r="H303" s="17">
        <v>416</v>
      </c>
      <c r="I303" s="90" t="s">
        <v>322</v>
      </c>
      <c r="J303" s="82" t="e">
        <f>puntosproljorvarios4*proljormar2011*porjubvarcar*frac4</f>
        <v>#NAME?</v>
      </c>
      <c r="L303" s="11"/>
      <c r="M303" s="382"/>
      <c r="N303" s="385"/>
    </row>
    <row r="304" spans="1:14" ht="12.75" hidden="1">
      <c r="A304" s="247">
        <v>4</v>
      </c>
      <c r="B304" s="163"/>
      <c r="C304" s="248"/>
      <c r="D304" s="17">
        <v>432</v>
      </c>
      <c r="E304" s="17" t="s">
        <v>338</v>
      </c>
      <c r="F304" s="82" t="e">
        <f>cod06feb11varios4*porjubvarcar*frac4</f>
        <v>#NAME?</v>
      </c>
      <c r="G304" s="248"/>
      <c r="H304" s="17">
        <v>432</v>
      </c>
      <c r="I304" s="17" t="s">
        <v>338</v>
      </c>
      <c r="J304" s="82" t="e">
        <f>cod06mar11varios4*porjubvarcar*frac4</f>
        <v>#NAME?</v>
      </c>
      <c r="L304" s="11"/>
      <c r="M304" s="11"/>
      <c r="N304" s="385"/>
    </row>
    <row r="305" spans="1:14" ht="12.75" hidden="1">
      <c r="A305" s="247">
        <v>4</v>
      </c>
      <c r="B305" s="163"/>
      <c r="C305" s="248"/>
      <c r="D305" s="17">
        <v>434</v>
      </c>
      <c r="E305" s="17" t="s">
        <v>320</v>
      </c>
      <c r="F305" s="82" t="e">
        <f>(F297+F298+F300+F301+F303+F304+F302)*0.07*0.95</f>
        <v>#NAME?</v>
      </c>
      <c r="G305" s="248"/>
      <c r="H305" s="17">
        <v>434</v>
      </c>
      <c r="I305" s="17" t="s">
        <v>320</v>
      </c>
      <c r="J305" s="82" t="e">
        <f>(J297+J298+J300+J301+J303+J304+J302)*0.07*0.95</f>
        <v>#NAME?</v>
      </c>
      <c r="L305" s="11"/>
      <c r="M305" s="11"/>
      <c r="N305" s="385"/>
    </row>
    <row r="306" spans="1:14" ht="12.75" hidden="1">
      <c r="A306" s="247">
        <v>4</v>
      </c>
      <c r="B306" s="163"/>
      <c r="C306" s="248"/>
      <c r="D306" s="17"/>
      <c r="E306" s="84"/>
      <c r="F306" s="141"/>
      <c r="G306" s="248"/>
      <c r="H306" s="17"/>
      <c r="I306" s="84"/>
      <c r="J306" s="141"/>
      <c r="L306" s="11"/>
      <c r="M306" s="11"/>
      <c r="N306" s="385"/>
    </row>
    <row r="307" spans="1:14" ht="13.5" hidden="1" thickBot="1">
      <c r="A307" s="247">
        <v>4</v>
      </c>
      <c r="B307" s="163"/>
      <c r="C307" s="248"/>
      <c r="D307" s="17"/>
      <c r="E307" s="84" t="s">
        <v>336</v>
      </c>
      <c r="F307" s="110">
        <v>0</v>
      </c>
      <c r="G307" s="248"/>
      <c r="H307" s="17"/>
      <c r="I307" s="84" t="s">
        <v>336</v>
      </c>
      <c r="J307" s="110">
        <v>0</v>
      </c>
      <c r="L307" s="11"/>
      <c r="M307" s="11"/>
      <c r="N307" s="395"/>
    </row>
    <row r="308" spans="1:14" ht="16.5" hidden="1" thickBot="1">
      <c r="A308" s="247">
        <v>4</v>
      </c>
      <c r="B308" s="163"/>
      <c r="C308" s="248"/>
      <c r="D308" s="85"/>
      <c r="E308" s="86" t="s">
        <v>20</v>
      </c>
      <c r="F308" s="87" t="e">
        <f>SUM(F297:F307)</f>
        <v>#NAME?</v>
      </c>
      <c r="G308" s="248"/>
      <c r="H308" s="85"/>
      <c r="I308" s="86" t="s">
        <v>20</v>
      </c>
      <c r="J308" s="87" t="e">
        <f>SUM(J297:J307)</f>
        <v>#NAME?</v>
      </c>
      <c r="L308" s="11"/>
      <c r="M308" s="68"/>
      <c r="N308" s="393"/>
    </row>
    <row r="309" spans="1:14" ht="12.75" hidden="1">
      <c r="A309" s="247">
        <v>4</v>
      </c>
      <c r="B309" s="163"/>
      <c r="C309" s="248"/>
      <c r="D309" s="17">
        <v>703</v>
      </c>
      <c r="E309" s="88" t="s">
        <v>323</v>
      </c>
      <c r="F309" s="89" t="e">
        <f>(F308-F307)*0.0025</f>
        <v>#NAME?</v>
      </c>
      <c r="G309" s="248"/>
      <c r="H309" s="17">
        <v>703</v>
      </c>
      <c r="I309" s="88" t="s">
        <v>323</v>
      </c>
      <c r="J309" s="89" t="e">
        <f>(J308-J307)*0.0025</f>
        <v>#NAME?</v>
      </c>
      <c r="L309" s="11"/>
      <c r="M309" s="388"/>
      <c r="N309" s="389"/>
    </row>
    <row r="310" spans="1:14" ht="12.75" hidden="1">
      <c r="A310" s="247">
        <v>4</v>
      </c>
      <c r="B310" s="163"/>
      <c r="C310" s="248"/>
      <c r="D310" s="18">
        <v>707</v>
      </c>
      <c r="E310" s="90" t="s">
        <v>22</v>
      </c>
      <c r="F310" s="16" t="e">
        <f>(F308-F307)*0.03</f>
        <v>#NAME?</v>
      </c>
      <c r="G310" s="248"/>
      <c r="H310" s="18">
        <v>707</v>
      </c>
      <c r="I310" s="90" t="s">
        <v>22</v>
      </c>
      <c r="J310" s="16" t="e">
        <f>(J308-J307)*0.03</f>
        <v>#NAME?</v>
      </c>
      <c r="L310" s="11"/>
      <c r="M310" s="382"/>
      <c r="N310" s="389"/>
    </row>
    <row r="311" spans="1:14" ht="12.75" hidden="1">
      <c r="A311" s="247">
        <v>4</v>
      </c>
      <c r="B311" s="163"/>
      <c r="C311" s="248"/>
      <c r="D311" s="18">
        <v>709</v>
      </c>
      <c r="E311" s="90" t="s">
        <v>23</v>
      </c>
      <c r="F311" s="16" t="e">
        <f>(F308-F307)*0.0213</f>
        <v>#NAME?</v>
      </c>
      <c r="G311" s="248"/>
      <c r="H311" s="18">
        <v>709</v>
      </c>
      <c r="I311" s="90" t="s">
        <v>23</v>
      </c>
      <c r="J311" s="16" t="e">
        <f>(J308-J307)*0.0213</f>
        <v>#NAME?</v>
      </c>
      <c r="L311" s="11"/>
      <c r="M311" s="382"/>
      <c r="N311" s="389"/>
    </row>
    <row r="312" spans="1:14" ht="12.75" hidden="1">
      <c r="A312" s="247">
        <v>4</v>
      </c>
      <c r="B312" s="163"/>
      <c r="C312" s="248"/>
      <c r="D312" s="15">
        <v>710</v>
      </c>
      <c r="E312" s="90" t="s">
        <v>24</v>
      </c>
      <c r="F312" s="16" t="e">
        <f>(F308-F307)*0.00754</f>
        <v>#NAME?</v>
      </c>
      <c r="G312" s="248"/>
      <c r="H312" s="15">
        <v>710</v>
      </c>
      <c r="I312" s="90" t="s">
        <v>24</v>
      </c>
      <c r="J312" s="16" t="e">
        <f>(J308-J307)*0.00754</f>
        <v>#NAME?</v>
      </c>
      <c r="L312" s="382"/>
      <c r="M312" s="382"/>
      <c r="N312" s="389"/>
    </row>
    <row r="313" spans="1:14" ht="12.75" hidden="1">
      <c r="A313" s="247">
        <v>4</v>
      </c>
      <c r="B313" s="163"/>
      <c r="C313" s="248"/>
      <c r="D313" s="15">
        <v>713</v>
      </c>
      <c r="E313" s="90" t="s">
        <v>25</v>
      </c>
      <c r="F313" s="16" t="e">
        <f>(F308-F307)*0.007</f>
        <v>#NAME?</v>
      </c>
      <c r="G313" s="248"/>
      <c r="H313" s="15">
        <v>713</v>
      </c>
      <c r="I313" s="90" t="s">
        <v>25</v>
      </c>
      <c r="J313" s="16" t="e">
        <f>(J308-J307)*0.007</f>
        <v>#NAME?</v>
      </c>
      <c r="L313" s="382"/>
      <c r="M313" s="382"/>
      <c r="N313" s="389"/>
    </row>
    <row r="314" spans="1:14" ht="13.5" hidden="1" thickBot="1">
      <c r="A314" s="247">
        <v>4</v>
      </c>
      <c r="B314" s="163"/>
      <c r="C314" s="248"/>
      <c r="D314" s="15"/>
      <c r="E314" s="91" t="s">
        <v>26</v>
      </c>
      <c r="F314" s="41">
        <v>0</v>
      </c>
      <c r="G314" s="248"/>
      <c r="H314" s="15"/>
      <c r="I314" s="91" t="s">
        <v>26</v>
      </c>
      <c r="J314" s="41">
        <v>0</v>
      </c>
      <c r="L314" s="382"/>
      <c r="M314" s="382"/>
      <c r="N314" s="396"/>
    </row>
    <row r="315" spans="1:14" ht="16.5" hidden="1" thickBot="1">
      <c r="A315" s="247">
        <v>4</v>
      </c>
      <c r="B315" s="163"/>
      <c r="C315" s="248"/>
      <c r="D315" s="92"/>
      <c r="E315" s="86" t="s">
        <v>27</v>
      </c>
      <c r="F315" s="87" t="e">
        <f>SUM(F309:F314)</f>
        <v>#NAME?</v>
      </c>
      <c r="G315" s="248"/>
      <c r="H315" s="92"/>
      <c r="I315" s="86" t="s">
        <v>27</v>
      </c>
      <c r="J315" s="87" t="e">
        <f>SUM(J309:J314)</f>
        <v>#NAME?</v>
      </c>
      <c r="L315" s="11"/>
      <c r="M315" s="68"/>
      <c r="N315" s="393"/>
    </row>
    <row r="316" spans="1:14" ht="13.5" hidden="1" thickBot="1">
      <c r="A316" s="247">
        <v>4</v>
      </c>
      <c r="B316" s="163"/>
      <c r="C316" s="248"/>
      <c r="D316" s="93"/>
      <c r="E316" s="94"/>
      <c r="F316" s="95"/>
      <c r="G316" s="248"/>
      <c r="H316" s="93"/>
      <c r="I316" s="94"/>
      <c r="J316" s="95"/>
      <c r="L316" s="68"/>
      <c r="M316" s="11"/>
      <c r="N316" s="397"/>
    </row>
    <row r="317" spans="1:14" ht="16.5" hidden="1" thickBot="1">
      <c r="A317" s="247">
        <v>4</v>
      </c>
      <c r="B317" s="164"/>
      <c r="C317" s="248"/>
      <c r="D317" s="96"/>
      <c r="E317" s="97" t="s">
        <v>28</v>
      </c>
      <c r="F317" s="98" t="e">
        <f>F308-F315</f>
        <v>#NAME?</v>
      </c>
      <c r="G317" s="248"/>
      <c r="H317" s="96"/>
      <c r="I317" s="97" t="s">
        <v>28</v>
      </c>
      <c r="J317" s="98" t="e">
        <f>J308-J315</f>
        <v>#NAME?</v>
      </c>
      <c r="L317" s="217"/>
      <c r="M317" s="392"/>
      <c r="N317" s="398"/>
    </row>
    <row r="318" spans="1:7" s="213" customFormat="1" ht="12.75" hidden="1">
      <c r="A318" s="247">
        <v>4</v>
      </c>
      <c r="B318" s="163"/>
      <c r="C318" s="251"/>
      <c r="G318" s="247"/>
    </row>
    <row r="319" spans="1:15" ht="15.75" hidden="1">
      <c r="A319" s="247">
        <v>4</v>
      </c>
      <c r="B319" s="164"/>
      <c r="C319" s="164"/>
      <c r="D319" s="252"/>
      <c r="E319" s="253"/>
      <c r="F319" s="254"/>
      <c r="G319" s="164"/>
      <c r="H319" s="252"/>
      <c r="I319" s="253"/>
      <c r="J319" s="254"/>
      <c r="K319" s="248"/>
      <c r="L319" s="248"/>
      <c r="M319" s="248"/>
      <c r="N319" s="248"/>
      <c r="O319" s="248"/>
    </row>
    <row r="320" spans="1:17" ht="12.75">
      <c r="A320">
        <v>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4"/>
      <c r="N320" s="11"/>
      <c r="O320" s="100"/>
      <c r="P320" s="10"/>
      <c r="Q320" s="10"/>
    </row>
    <row r="321" spans="2:17" ht="33.75">
      <c r="B321" s="10"/>
      <c r="C321" s="10"/>
      <c r="E321" s="10"/>
      <c r="F321" s="10"/>
      <c r="G321" s="301" t="s">
        <v>368</v>
      </c>
      <c r="H321" s="10"/>
      <c r="I321" s="10"/>
      <c r="J321" s="10"/>
      <c r="K321" s="10"/>
      <c r="L321" s="10"/>
      <c r="M321" s="14"/>
      <c r="N321" s="11"/>
      <c r="O321" s="100"/>
      <c r="P321" s="10"/>
      <c r="Q321" s="10"/>
    </row>
    <row r="322" spans="2:17" ht="13.5" thickBo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4"/>
      <c r="N322" s="11"/>
      <c r="O322" s="100"/>
      <c r="P322" s="10"/>
      <c r="Q322" s="10"/>
    </row>
    <row r="323" spans="5:11" ht="21" thickBot="1">
      <c r="E323" s="168" t="s">
        <v>345</v>
      </c>
      <c r="F323" s="169"/>
      <c r="G323" s="170"/>
      <c r="H323" s="171">
        <f>H51+H129+H208+H287</f>
        <v>120</v>
      </c>
      <c r="I323" s="172" t="s">
        <v>377</v>
      </c>
      <c r="J323" s="175"/>
      <c r="K323" s="175"/>
    </row>
    <row r="324" spans="5:11" ht="16.5" customHeight="1">
      <c r="E324" s="59"/>
      <c r="F324" s="331"/>
      <c r="G324" s="332"/>
      <c r="H324" s="414"/>
      <c r="I324" s="333"/>
      <c r="J324" s="59"/>
      <c r="K324" s="59"/>
    </row>
    <row r="325" spans="4:14" ht="15.75">
      <c r="D325" s="10"/>
      <c r="E325" s="128" t="s">
        <v>384</v>
      </c>
      <c r="F325" s="10"/>
      <c r="G325" s="133"/>
      <c r="H325" s="10"/>
      <c r="I325" s="128" t="s">
        <v>385</v>
      </c>
      <c r="J325" s="10"/>
      <c r="K325" s="208"/>
      <c r="L325" s="11"/>
      <c r="M325" s="384"/>
      <c r="N325" s="11"/>
    </row>
    <row r="326" spans="2:14" ht="12.75">
      <c r="B326" s="2"/>
      <c r="C326" s="10"/>
      <c r="D326" s="17">
        <v>400</v>
      </c>
      <c r="E326" s="17" t="s">
        <v>18</v>
      </c>
      <c r="F326" s="82" t="e">
        <f>F61+F139+F218+F297</f>
        <v>#NAME?</v>
      </c>
      <c r="G326" s="262"/>
      <c r="H326" s="17">
        <v>400</v>
      </c>
      <c r="I326" s="17" t="s">
        <v>18</v>
      </c>
      <c r="J326" s="82" t="e">
        <f aca="true" t="shared" si="56" ref="J326:J334">J61+J139+J218+J297</f>
        <v>#NAME?</v>
      </c>
      <c r="L326" s="11"/>
      <c r="M326" s="11"/>
      <c r="N326" s="385"/>
    </row>
    <row r="327" spans="2:14" ht="12.75">
      <c r="B327" s="2"/>
      <c r="C327" s="10"/>
      <c r="D327" s="17">
        <v>542</v>
      </c>
      <c r="E327" s="17" t="s">
        <v>370</v>
      </c>
      <c r="F327" s="82" t="e">
        <f>F62+F140+F219+F298</f>
        <v>#NAME?</v>
      </c>
      <c r="G327" s="262"/>
      <c r="H327" s="17">
        <v>542</v>
      </c>
      <c r="I327" s="17" t="s">
        <v>370</v>
      </c>
      <c r="J327" s="82" t="e">
        <f t="shared" si="56"/>
        <v>#NAME?</v>
      </c>
      <c r="L327" s="11"/>
      <c r="M327" s="11"/>
      <c r="N327" s="385"/>
    </row>
    <row r="328" spans="2:14" ht="12.75">
      <c r="B328" s="2"/>
      <c r="C328" s="10"/>
      <c r="D328" s="370"/>
      <c r="E328" s="370"/>
      <c r="F328" s="404"/>
      <c r="G328" s="262"/>
      <c r="H328" s="416" t="s">
        <v>396</v>
      </c>
      <c r="I328" s="416" t="s">
        <v>397</v>
      </c>
      <c r="J328" s="417" t="e">
        <f t="shared" si="56"/>
        <v>#REF!</v>
      </c>
      <c r="L328" s="11"/>
      <c r="M328" s="11"/>
      <c r="N328" s="385"/>
    </row>
    <row r="329" spans="2:14" ht="12.75">
      <c r="B329" s="2"/>
      <c r="C329" s="10"/>
      <c r="D329" s="17">
        <v>404</v>
      </c>
      <c r="E329" s="17" t="s">
        <v>321</v>
      </c>
      <c r="F329" s="82" t="e">
        <f aca="true" t="shared" si="57" ref="F329:F334">F64+F142+F221+F300</f>
        <v>#NAME?</v>
      </c>
      <c r="G329" s="262"/>
      <c r="H329" s="17">
        <v>404</v>
      </c>
      <c r="I329" s="17" t="s">
        <v>321</v>
      </c>
      <c r="J329" s="82" t="e">
        <f t="shared" si="56"/>
        <v>#NAME?</v>
      </c>
      <c r="L329" s="11"/>
      <c r="M329" s="11"/>
      <c r="N329" s="385"/>
    </row>
    <row r="330" spans="2:14" ht="12.75">
      <c r="B330" s="2"/>
      <c r="C330" s="10"/>
      <c r="D330" s="17">
        <v>406</v>
      </c>
      <c r="E330" s="17" t="s">
        <v>19</v>
      </c>
      <c r="F330" s="82" t="e">
        <f t="shared" si="57"/>
        <v>#NAME?</v>
      </c>
      <c r="G330" s="262"/>
      <c r="H330" s="17">
        <v>406</v>
      </c>
      <c r="I330" s="17" t="s">
        <v>19</v>
      </c>
      <c r="J330" s="82" t="e">
        <f t="shared" si="56"/>
        <v>#NAME?</v>
      </c>
      <c r="L330" s="11"/>
      <c r="M330" s="11"/>
      <c r="N330" s="385"/>
    </row>
    <row r="331" spans="2:14" ht="12.75">
      <c r="B331" s="2"/>
      <c r="C331" s="10"/>
      <c r="D331" s="17">
        <v>408</v>
      </c>
      <c r="E331" s="17" t="s">
        <v>340</v>
      </c>
      <c r="F331" s="82" t="e">
        <f t="shared" si="57"/>
        <v>#NAME?</v>
      </c>
      <c r="G331" s="262"/>
      <c r="H331" s="17">
        <v>408</v>
      </c>
      <c r="I331" s="17" t="s">
        <v>340</v>
      </c>
      <c r="J331" s="82" t="e">
        <f t="shared" si="56"/>
        <v>#NAME?</v>
      </c>
      <c r="L331" s="11"/>
      <c r="M331" s="11"/>
      <c r="N331" s="385"/>
    </row>
    <row r="332" spans="2:14" ht="12.75">
      <c r="B332" s="2"/>
      <c r="C332" s="14"/>
      <c r="D332" s="17">
        <v>416</v>
      </c>
      <c r="E332" s="90" t="s">
        <v>322</v>
      </c>
      <c r="F332" s="82" t="e">
        <f t="shared" si="57"/>
        <v>#NAME?</v>
      </c>
      <c r="G332" s="262"/>
      <c r="H332" s="17">
        <v>416</v>
      </c>
      <c r="I332" s="90" t="s">
        <v>322</v>
      </c>
      <c r="J332" s="82" t="e">
        <f t="shared" si="56"/>
        <v>#NAME?</v>
      </c>
      <c r="L332" s="11"/>
      <c r="M332" s="382"/>
      <c r="N332" s="385"/>
    </row>
    <row r="333" spans="2:14" ht="12.75">
      <c r="B333" s="2"/>
      <c r="C333" s="14"/>
      <c r="D333" s="17">
        <v>432</v>
      </c>
      <c r="E333" s="17" t="s">
        <v>338</v>
      </c>
      <c r="F333" s="82" t="e">
        <f t="shared" si="57"/>
        <v>#NAME?</v>
      </c>
      <c r="G333" s="262"/>
      <c r="H333" s="17">
        <v>432</v>
      </c>
      <c r="I333" s="17" t="s">
        <v>338</v>
      </c>
      <c r="J333" s="82" t="e">
        <f t="shared" si="56"/>
        <v>#NAME?</v>
      </c>
      <c r="L333" s="11"/>
      <c r="M333" s="11"/>
      <c r="N333" s="385"/>
    </row>
    <row r="334" spans="2:14" ht="12.75">
      <c r="B334" s="2"/>
      <c r="C334" s="14"/>
      <c r="D334" s="17">
        <v>434</v>
      </c>
      <c r="E334" s="17" t="s">
        <v>320</v>
      </c>
      <c r="F334" s="82" t="e">
        <f t="shared" si="57"/>
        <v>#NAME?</v>
      </c>
      <c r="G334" s="262"/>
      <c r="H334" s="17">
        <v>434</v>
      </c>
      <c r="I334" s="17" t="s">
        <v>320</v>
      </c>
      <c r="J334" s="82" t="e">
        <f t="shared" si="56"/>
        <v>#NAME?</v>
      </c>
      <c r="L334" s="11"/>
      <c r="M334" s="11"/>
      <c r="N334" s="385"/>
    </row>
    <row r="335" spans="2:14" ht="13.5" thickBot="1">
      <c r="B335" s="2"/>
      <c r="C335" s="14"/>
      <c r="D335" s="17"/>
      <c r="E335" s="84" t="s">
        <v>336</v>
      </c>
      <c r="F335" s="300">
        <v>0</v>
      </c>
      <c r="G335" s="262"/>
      <c r="H335" s="17"/>
      <c r="I335" s="84" t="s">
        <v>336</v>
      </c>
      <c r="J335" s="300">
        <v>0</v>
      </c>
      <c r="L335" s="11"/>
      <c r="M335" s="11"/>
      <c r="N335" s="386"/>
    </row>
    <row r="336" spans="2:14" ht="13.5" thickBot="1">
      <c r="B336" s="2"/>
      <c r="C336" s="14"/>
      <c r="D336" s="85"/>
      <c r="E336" s="86" t="s">
        <v>20</v>
      </c>
      <c r="F336" s="219" t="e">
        <f>SUM(F326:F335)</f>
        <v>#NAME?</v>
      </c>
      <c r="G336" s="264"/>
      <c r="H336" s="85"/>
      <c r="I336" s="86" t="s">
        <v>20</v>
      </c>
      <c r="J336" s="219" t="e">
        <f>SUM(J326:J335)</f>
        <v>#NAME?</v>
      </c>
      <c r="L336" s="11"/>
      <c r="M336" s="68"/>
      <c r="N336" s="387"/>
    </row>
    <row r="337" spans="2:14" ht="12.75">
      <c r="B337" s="2"/>
      <c r="C337" s="14"/>
      <c r="D337" s="17">
        <v>703</v>
      </c>
      <c r="E337" s="88" t="s">
        <v>323</v>
      </c>
      <c r="F337" s="16" t="e">
        <f>F73+F151+F230+F309</f>
        <v>#NAME?</v>
      </c>
      <c r="G337" s="261"/>
      <c r="H337" s="17">
        <v>703</v>
      </c>
      <c r="I337" s="88" t="s">
        <v>323</v>
      </c>
      <c r="J337" s="16" t="e">
        <f>J73+J151+J230+J309</f>
        <v>#NAME?</v>
      </c>
      <c r="L337" s="11"/>
      <c r="M337" s="388"/>
      <c r="N337" s="389"/>
    </row>
    <row r="338" spans="2:14" ht="12.75">
      <c r="B338" s="2"/>
      <c r="C338" s="14"/>
      <c r="D338" s="18">
        <v>707</v>
      </c>
      <c r="E338" s="90" t="s">
        <v>22</v>
      </c>
      <c r="F338" s="16" t="e">
        <f>F74+F152+F231+F310</f>
        <v>#NAME?</v>
      </c>
      <c r="G338" s="261"/>
      <c r="H338" s="18">
        <v>707</v>
      </c>
      <c r="I338" s="90" t="s">
        <v>22</v>
      </c>
      <c r="J338" s="16" t="e">
        <f>J74+J152+J231+J310</f>
        <v>#NAME?</v>
      </c>
      <c r="L338" s="11"/>
      <c r="M338" s="382"/>
      <c r="N338" s="389"/>
    </row>
    <row r="339" spans="2:14" ht="12.75">
      <c r="B339" s="2"/>
      <c r="C339" s="14"/>
      <c r="D339" s="18">
        <v>709</v>
      </c>
      <c r="E339" s="90" t="s">
        <v>23</v>
      </c>
      <c r="F339" s="16" t="e">
        <f>F75+F153+F232+F311</f>
        <v>#NAME?</v>
      </c>
      <c r="G339" s="261"/>
      <c r="H339" s="18">
        <v>709</v>
      </c>
      <c r="I339" s="90" t="s">
        <v>23</v>
      </c>
      <c r="J339" s="16" t="e">
        <f>J75+J153+J232+J311</f>
        <v>#NAME?</v>
      </c>
      <c r="L339" s="11"/>
      <c r="M339" s="382"/>
      <c r="N339" s="389"/>
    </row>
    <row r="340" spans="2:14" ht="12.75">
      <c r="B340" s="2"/>
      <c r="C340" s="14"/>
      <c r="D340" s="15">
        <v>710</v>
      </c>
      <c r="E340" s="90" t="s">
        <v>24</v>
      </c>
      <c r="F340" s="16" t="e">
        <f>F76+F154+F233+F312</f>
        <v>#NAME?</v>
      </c>
      <c r="G340" s="261"/>
      <c r="H340" s="15">
        <v>710</v>
      </c>
      <c r="I340" s="90" t="s">
        <v>24</v>
      </c>
      <c r="J340" s="16" t="e">
        <f>J76+J154+J233+J312</f>
        <v>#NAME?</v>
      </c>
      <c r="L340" s="382"/>
      <c r="M340" s="382"/>
      <c r="N340" s="389"/>
    </row>
    <row r="341" spans="2:14" ht="12.75">
      <c r="B341" s="2"/>
      <c r="C341" s="10"/>
      <c r="D341" s="15">
        <v>713</v>
      </c>
      <c r="E341" s="90" t="s">
        <v>25</v>
      </c>
      <c r="F341" s="16" t="e">
        <f>F77+F155+F234+F313</f>
        <v>#NAME?</v>
      </c>
      <c r="G341" s="261"/>
      <c r="H341" s="15">
        <v>713</v>
      </c>
      <c r="I341" s="90" t="s">
        <v>25</v>
      </c>
      <c r="J341" s="16" t="e">
        <f>J77+J155+J234+J313</f>
        <v>#NAME?</v>
      </c>
      <c r="L341" s="382"/>
      <c r="M341" s="382"/>
      <c r="N341" s="389"/>
    </row>
    <row r="342" spans="2:14" ht="13.5" thickBot="1">
      <c r="B342" s="2"/>
      <c r="C342" s="142"/>
      <c r="D342" s="15"/>
      <c r="E342" s="91" t="s">
        <v>26</v>
      </c>
      <c r="F342" s="260">
        <v>0</v>
      </c>
      <c r="G342" s="261"/>
      <c r="H342" s="15"/>
      <c r="I342" s="91" t="s">
        <v>26</v>
      </c>
      <c r="J342" s="260">
        <v>0</v>
      </c>
      <c r="L342" s="382"/>
      <c r="M342" s="382"/>
      <c r="N342" s="390"/>
    </row>
    <row r="343" spans="2:14" ht="13.5" thickBot="1">
      <c r="B343" s="2"/>
      <c r="C343" s="142"/>
      <c r="D343" s="92"/>
      <c r="E343" s="86" t="s">
        <v>27</v>
      </c>
      <c r="F343" s="218" t="e">
        <f>SUM(F337:F342)</f>
        <v>#NAME?</v>
      </c>
      <c r="G343" s="261"/>
      <c r="H343" s="92"/>
      <c r="I343" s="86" t="s">
        <v>27</v>
      </c>
      <c r="J343" s="218" t="e">
        <f>SUM(J337:J342)</f>
        <v>#NAME?</v>
      </c>
      <c r="L343" s="11"/>
      <c r="M343" s="68"/>
      <c r="N343" s="391"/>
    </row>
    <row r="344" spans="2:14" ht="13.5" thickBot="1">
      <c r="B344" s="2"/>
      <c r="C344" s="142"/>
      <c r="D344" s="93"/>
      <c r="E344" s="94"/>
      <c r="F344" s="82"/>
      <c r="G344" s="261"/>
      <c r="H344" s="93"/>
      <c r="I344" s="94"/>
      <c r="J344" s="82"/>
      <c r="L344" s="68"/>
      <c r="M344" s="11"/>
      <c r="N344" s="385"/>
    </row>
    <row r="345" spans="2:14" ht="16.5" thickBot="1">
      <c r="B345" s="2"/>
      <c r="C345" s="143"/>
      <c r="D345" s="96"/>
      <c r="E345" s="97" t="s">
        <v>28</v>
      </c>
      <c r="F345" s="220" t="e">
        <f>F336-F343</f>
        <v>#NAME?</v>
      </c>
      <c r="G345" s="263"/>
      <c r="H345" s="96"/>
      <c r="I345" s="97" t="s">
        <v>28</v>
      </c>
      <c r="J345" s="220" t="e">
        <f>J336-J343</f>
        <v>#NAME?</v>
      </c>
      <c r="L345" s="217"/>
      <c r="M345" s="392"/>
      <c r="N345" s="393"/>
    </row>
    <row r="346" spans="2:14" ht="16.5" thickBot="1">
      <c r="B346" s="2"/>
      <c r="C346" s="143"/>
      <c r="D346" s="4"/>
      <c r="E346" s="174"/>
      <c r="F346" s="341"/>
      <c r="G346" s="263"/>
      <c r="H346" s="4"/>
      <c r="I346" s="174"/>
      <c r="J346" s="341"/>
      <c r="L346" s="217"/>
      <c r="M346" s="392"/>
      <c r="N346" s="393"/>
    </row>
    <row r="347" spans="2:14" ht="15.75">
      <c r="B347" s="2"/>
      <c r="C347" s="143"/>
      <c r="D347" s="4"/>
      <c r="E347" s="174"/>
      <c r="F347" s="341"/>
      <c r="G347" s="263"/>
      <c r="H347" s="4"/>
      <c r="I347" s="343" t="s">
        <v>372</v>
      </c>
      <c r="J347" s="344" t="e">
        <f>J345-F345</f>
        <v>#NAME?</v>
      </c>
      <c r="L347" s="217"/>
      <c r="M347" s="392"/>
      <c r="N347" s="393"/>
    </row>
    <row r="348" spans="2:14" ht="16.5" thickBot="1">
      <c r="B348" s="2"/>
      <c r="C348" s="143"/>
      <c r="D348" s="4"/>
      <c r="E348" s="174"/>
      <c r="F348" s="341"/>
      <c r="G348" s="263"/>
      <c r="H348" s="4"/>
      <c r="I348" s="345" t="s">
        <v>373</v>
      </c>
      <c r="J348" s="346" t="e">
        <f>J347/F345</f>
        <v>#NAME?</v>
      </c>
      <c r="L348" s="217"/>
      <c r="M348" s="392"/>
      <c r="N348" s="394"/>
    </row>
    <row r="349" spans="2:14" ht="15.75">
      <c r="B349" s="2"/>
      <c r="C349" s="143"/>
      <c r="D349" s="4"/>
      <c r="E349" s="174"/>
      <c r="F349" s="341"/>
      <c r="G349" s="263"/>
      <c r="H349" s="4"/>
      <c r="I349" s="174"/>
      <c r="J349" s="341"/>
      <c r="L349" s="217"/>
      <c r="M349" s="392"/>
      <c r="N349" s="394"/>
    </row>
    <row r="350" spans="2:14" ht="15.75">
      <c r="B350" s="2"/>
      <c r="C350" s="143"/>
      <c r="D350" s="4"/>
      <c r="E350" s="174"/>
      <c r="F350" s="341"/>
      <c r="G350" s="263"/>
      <c r="H350" s="415"/>
      <c r="I350" s="174"/>
      <c r="J350" s="342"/>
      <c r="L350" s="217"/>
      <c r="M350" s="392"/>
      <c r="N350" s="393"/>
    </row>
    <row r="351" spans="2:14" ht="15.75">
      <c r="B351" s="10"/>
      <c r="C351" s="10"/>
      <c r="L351" s="213"/>
      <c r="M351" s="392"/>
      <c r="N351" s="394"/>
    </row>
    <row r="352" spans="2:17" ht="15.75">
      <c r="B352" s="99"/>
      <c r="C352" s="305"/>
      <c r="D352" s="306"/>
      <c r="E352" s="307"/>
      <c r="F352" s="291"/>
      <c r="G352" s="305"/>
      <c r="H352" s="231"/>
      <c r="I352" s="232"/>
      <c r="J352" s="232"/>
      <c r="K352" s="232"/>
      <c r="L352" s="232"/>
      <c r="M352" s="10"/>
      <c r="N352" s="68"/>
      <c r="O352" s="11"/>
      <c r="P352" s="10"/>
      <c r="Q352" s="10"/>
    </row>
    <row r="353" spans="2:17" ht="15.75">
      <c r="B353" s="99"/>
      <c r="C353" s="228"/>
      <c r="D353" s="229"/>
      <c r="E353" s="230"/>
      <c r="F353" s="155"/>
      <c r="G353" s="228"/>
      <c r="H353" s="308"/>
      <c r="I353" s="309"/>
      <c r="J353" s="309"/>
      <c r="K353" s="309"/>
      <c r="L353" s="309"/>
      <c r="M353" s="10"/>
      <c r="N353" s="68"/>
      <c r="O353" s="11"/>
      <c r="P353" s="10"/>
      <c r="Q353" s="10"/>
    </row>
    <row r="354" ht="13.5" thickBot="1"/>
    <row r="355" ht="17.25" thickBot="1" thickTop="1">
      <c r="D355" s="311" t="s">
        <v>369</v>
      </c>
    </row>
    <row r="356" spans="4:6" ht="15.75" thickTop="1">
      <c r="D356" s="266" t="s">
        <v>11</v>
      </c>
      <c r="E356" s="265"/>
      <c r="F356" s="302"/>
    </row>
    <row r="357" spans="4:6" ht="15">
      <c r="D357" s="266" t="s">
        <v>12</v>
      </c>
      <c r="E357" s="267"/>
      <c r="F357" s="303"/>
    </row>
    <row r="358" spans="4:6" ht="15">
      <c r="D358" s="268" t="s">
        <v>344</v>
      </c>
      <c r="E358" s="267"/>
      <c r="F358" s="303"/>
    </row>
    <row r="359" spans="4:6" ht="15">
      <c r="D359" s="269" t="s">
        <v>335</v>
      </c>
      <c r="E359" s="267"/>
      <c r="F359" s="303"/>
    </row>
    <row r="360" spans="4:6" ht="15.75" thickBot="1">
      <c r="D360" s="310"/>
      <c r="E360" s="270"/>
      <c r="F360" s="304"/>
    </row>
    <row r="361" ht="13.5" thickTop="1"/>
  </sheetData>
  <sheetProtection selectLockedCells="1"/>
  <hyperlinks>
    <hyperlink ref="D359" r:id="rId1" display="www.agmeruruguay.com.ar"/>
    <hyperlink ref="D358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vicky</cp:lastModifiedBy>
  <dcterms:created xsi:type="dcterms:W3CDTF">2006-03-31T13:19:38Z</dcterms:created>
  <dcterms:modified xsi:type="dcterms:W3CDTF">2015-04-13T20:46:55Z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