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spaso\AGMER\"/>
    </mc:Choice>
  </mc:AlternateContent>
  <bookViews>
    <workbookView xWindow="0" yWindow="0" windowWidth="20490" windowHeight="7905" tabRatio="257"/>
  </bookViews>
  <sheets>
    <sheet name="Recibo" sheetId="1" r:id="rId1"/>
    <sheet name="cargos" sheetId="2" r:id="rId2"/>
  </sheets>
  <definedNames>
    <definedName name="adicdir2016">cargos!$F$3:$F$336</definedName>
    <definedName name="adicdir2022">cargos!$G$3:$G$336</definedName>
    <definedName name="adichsmedia">Recibo!$D$248</definedName>
    <definedName name="adicnina">cargos!$L$3:$L$336</definedName>
    <definedName name="Aumento1">Recibo!$C$87</definedName>
    <definedName name="Aumento2">Recibo!$C$88</definedName>
    <definedName name="Aumento3">Recibo!$C$89</definedName>
    <definedName name="Aumento4">Recibo!$C$90</definedName>
    <definedName name="Aumento5">Recibo!$C$91</definedName>
    <definedName name="aumento6">Recibo!$C$92</definedName>
    <definedName name="Aumento7">Recibo!$E$91</definedName>
    <definedName name="Aumento8">Recibo!$E$92</definedName>
    <definedName name="Aumentomar21">Recibo!#REF!</definedName>
    <definedName name="canthor06med">Recibo!$D$246</definedName>
    <definedName name="canthor06sup">Recibo!$D$372</definedName>
    <definedName name="canthorincmed">Recibo!$D$247</definedName>
    <definedName name="canthorincsup">Recibo!$D$373</definedName>
    <definedName name="canthormed">Recibo!$D$242</definedName>
    <definedName name="canthorsup">Recibo!$D$368</definedName>
    <definedName name="cantkm">Recibo!$D$112</definedName>
    <definedName name="cantkmhm">Recibo!$D$250</definedName>
    <definedName name="cantkmhs">Recibo!$D$375</definedName>
    <definedName name="codigo06cargosdic22">Recibo!$I$63:$I$74</definedName>
    <definedName name="codigo06cargosene20">Recibo!$I$17:$I$28</definedName>
    <definedName name="codigo06cargossep22">Recibo!$I$46:$I$57</definedName>
    <definedName name="compbas16">cargos!$E$3:$E$336</definedName>
    <definedName name="compbas2015">#REF!</definedName>
    <definedName name="compbas2016">Recibo!$F$105</definedName>
    <definedName name="compdir14">#REF!</definedName>
    <definedName name="compdir16">Recibo!$G$105</definedName>
    <definedName name="compdir22">Recibo!$I$105</definedName>
    <definedName name="escalaañosantig">Recibo!$D$17:$D$28</definedName>
    <definedName name="escalaporcantig">Recibo!$E$17:$E$28</definedName>
    <definedName name="exten">Recibo!$D$115</definedName>
    <definedName name="indicedic21">Recibo!$E$87</definedName>
    <definedName name="indiceene20">Recibo!#REF!</definedName>
    <definedName name="indiceene22">Recibo!$G$87</definedName>
    <definedName name="indiceene23">Recibo!$Q$87</definedName>
    <definedName name="indicemar21">Recibo!#REF!</definedName>
    <definedName name="indicenov22">Recibo!$O$87</definedName>
    <definedName name="indiceoct22">Recibo!$M$87</definedName>
    <definedName name="indiceproljordic21">Recibo!$E$88</definedName>
    <definedName name="indiceproljorene20">Recibo!#REF!</definedName>
    <definedName name="indiceproljorene22">Recibo!$G$88</definedName>
    <definedName name="Indiceproljorene23">Recibo!$Q$88</definedName>
    <definedName name="indiceproljormar21">Recibo!#REF!</definedName>
    <definedName name="Indiceproljornov22">Recibo!$O$88</definedName>
    <definedName name="Indiceproljoroct22">Recibo!$M$88</definedName>
    <definedName name="Indiceproljorsep22">Recibo!$K$88</definedName>
    <definedName name="indicesep22">Recibo!$K$87</definedName>
    <definedName name="kmsem">Recibo!$C$195</definedName>
    <definedName name="kmsemhsmed">Recibo!$C$320</definedName>
    <definedName name="kmsemhssup">Recibo!$C$440</definedName>
    <definedName name="nina">Recibo!$D$109</definedName>
    <definedName name="nombrecargo">cargos!$B$3:$B$336</definedName>
    <definedName name="numcargo">cargos!$A$3:$A$336</definedName>
    <definedName name="poragmer">Recibo!$C$453</definedName>
    <definedName name="porant">Recibo!$H$17:$H$28</definedName>
    <definedName name="porantigcargo">Recibo!$D$111</definedName>
    <definedName name="porantighormed">Recibo!$D$244</definedName>
    <definedName name="porantighorsup">Recibo!$D$370</definedName>
    <definedName name="porjub">Recibo!$C$451</definedName>
    <definedName name="porley">Recibo!#REF!</definedName>
    <definedName name="poros">Recibo!$C$452</definedName>
    <definedName name="porzonacargo">Recibo!$C$192</definedName>
    <definedName name="porzonahsmed">Recibo!$C$319</definedName>
    <definedName name="punbascar">Recibo!$D$113</definedName>
    <definedName name="punbascargo">cargos!$C$3:$C$336</definedName>
    <definedName name="punbashormed">Recibo!$D$252</definedName>
    <definedName name="punbashorsup">Recibo!$D$376</definedName>
    <definedName name="punexten">cargos!$D$3:$D$336</definedName>
    <definedName name="punjorcomcargo">cargos!$K$3:$K$336</definedName>
    <definedName name="punproljorcargo">cargos!$J$3:$J$336</definedName>
    <definedName name="puntardifcargo">cargos!$I$3:$I$336</definedName>
    <definedName name="puntosadicnina">Recibo!$H$105</definedName>
    <definedName name="PUNTOSbasicos">Recibo!$B$105</definedName>
    <definedName name="puntosexten">Recibo!$J$105</definedName>
    <definedName name="puntosproljor">Recibo!$D$114</definedName>
    <definedName name="puntostardif">Recibo!$C$105</definedName>
    <definedName name="totalrem1">Recibo!#REF!</definedName>
    <definedName name="totalrem2">Recibo!#REF!</definedName>
    <definedName name="totalrem3">Recibo!#REF!</definedName>
    <definedName name="totalrem4">Recibo!#REF!</definedName>
    <definedName name="totalrem5">Recibo!#REF!</definedName>
    <definedName name="totalremcuartoaum22">Recibo!#REF!</definedName>
    <definedName name="totalremene22">Recibo!$AF$214</definedName>
    <definedName name="totalremfeb21">Recibo!#REF!</definedName>
    <definedName name="totalremmar20">Recibo!#REF!</definedName>
    <definedName name="totalremocatavoaum22">Recibo!$K$214</definedName>
    <definedName name="totalremocatavoaumFoniddic22">Recibo!$H$214</definedName>
    <definedName name="totalremocatavoaumFonidene23">Recibo!$E$214</definedName>
    <definedName name="totalremocatvoaum22">Recibo!$K$214</definedName>
    <definedName name="totalremoctavoaum22">Recibo!$K$214</definedName>
    <definedName name="totalremprimeraum22">Recibo!$AC$214</definedName>
    <definedName name="totalremquintoaum22">Recibo!$T$214</definedName>
    <definedName name="totalremsegundoaum22">Recibo!$Z$214</definedName>
    <definedName name="totalremseptimoaum22">Recibo!$N$214</definedName>
    <definedName name="totalremsextoaum22">Recibo!$Q$214</definedName>
    <definedName name="totalremterceraum22">Recibo!$W$214</definedName>
  </definedNames>
  <calcPr calcId="162913"/>
</workbook>
</file>

<file path=xl/calcChain.xml><?xml version="1.0" encoding="utf-8"?>
<calcChain xmlns="http://schemas.openxmlformats.org/spreadsheetml/2006/main">
  <c r="F195" i="1" l="1"/>
  <c r="E447" i="1"/>
  <c r="E445" i="1"/>
  <c r="E327" i="1"/>
  <c r="E325" i="1"/>
  <c r="Q86" i="1" l="1"/>
  <c r="H447" i="1" l="1"/>
  <c r="C447" i="1"/>
  <c r="C392" i="1" s="1"/>
  <c r="H446" i="1"/>
  <c r="E446" i="1"/>
  <c r="E391" i="1" s="1"/>
  <c r="H327" i="1"/>
  <c r="E270" i="1"/>
  <c r="E326" i="1"/>
  <c r="E269" i="1" s="1"/>
  <c r="H325" i="1"/>
  <c r="H445" i="1"/>
  <c r="E390" i="1"/>
  <c r="E439" i="1"/>
  <c r="E436" i="1"/>
  <c r="E321" i="1"/>
  <c r="E264" i="1" s="1"/>
  <c r="E317" i="1"/>
  <c r="E260" i="1" s="1"/>
  <c r="E315" i="1"/>
  <c r="E316" i="1" s="1"/>
  <c r="E259" i="1" s="1"/>
  <c r="E450" i="1"/>
  <c r="F450" i="1" s="1"/>
  <c r="F395" i="1" s="1"/>
  <c r="E443" i="1"/>
  <c r="E384" i="1"/>
  <c r="E423" i="1"/>
  <c r="E421" i="1"/>
  <c r="E419" i="1"/>
  <c r="E418" i="1"/>
  <c r="E417" i="1"/>
  <c r="E416" i="1"/>
  <c r="F415" i="1"/>
  <c r="E415" i="1"/>
  <c r="E414" i="1"/>
  <c r="E413" i="1"/>
  <c r="E411" i="1"/>
  <c r="E410" i="1"/>
  <c r="E408" i="1"/>
  <c r="E407" i="1"/>
  <c r="E405" i="1"/>
  <c r="E404" i="1"/>
  <c r="E402" i="1"/>
  <c r="E393" i="1"/>
  <c r="E389" i="1"/>
  <c r="E330" i="1"/>
  <c r="F330" i="1" s="1"/>
  <c r="F273" i="1" s="1"/>
  <c r="E324" i="1"/>
  <c r="F319" i="1"/>
  <c r="E307" i="1"/>
  <c r="E306" i="1"/>
  <c r="E301" i="1"/>
  <c r="E299" i="1"/>
  <c r="E297" i="1"/>
  <c r="E296" i="1"/>
  <c r="E295" i="1"/>
  <c r="E294" i="1"/>
  <c r="F293" i="1"/>
  <c r="E293" i="1"/>
  <c r="E292" i="1"/>
  <c r="E291" i="1"/>
  <c r="E289" i="1"/>
  <c r="E288" i="1"/>
  <c r="E286" i="1"/>
  <c r="E285" i="1"/>
  <c r="E283" i="1"/>
  <c r="E282" i="1"/>
  <c r="E280" i="1"/>
  <c r="E271" i="1"/>
  <c r="E268" i="1"/>
  <c r="F263" i="1"/>
  <c r="E208" i="1"/>
  <c r="F208" i="1" s="1"/>
  <c r="F145" i="1" s="1"/>
  <c r="E206" i="1"/>
  <c r="F206" i="1" s="1"/>
  <c r="F143" i="1" s="1"/>
  <c r="E203" i="1"/>
  <c r="F203" i="1" s="1"/>
  <c r="F140" i="1" s="1"/>
  <c r="E199" i="1"/>
  <c r="E196" i="1"/>
  <c r="E172" i="1"/>
  <c r="E170" i="1"/>
  <c r="E168" i="1"/>
  <c r="E167" i="1"/>
  <c r="E166" i="1"/>
  <c r="E165" i="1"/>
  <c r="F164" i="1"/>
  <c r="E164" i="1"/>
  <c r="E163" i="1"/>
  <c r="F162" i="1"/>
  <c r="E162" i="1"/>
  <c r="E157" i="1"/>
  <c r="E156" i="1"/>
  <c r="E154" i="1"/>
  <c r="E153" i="1"/>
  <c r="F152" i="1"/>
  <c r="F151" i="1"/>
  <c r="E150" i="1"/>
  <c r="E148" i="1"/>
  <c r="G133" i="1"/>
  <c r="G130" i="1"/>
  <c r="G128" i="1"/>
  <c r="E258" i="1" l="1"/>
  <c r="C327" i="1"/>
  <c r="C270" i="1" s="1"/>
  <c r="E392" i="1"/>
  <c r="E437" i="1"/>
  <c r="E382" i="1" s="1"/>
  <c r="E381" i="1"/>
  <c r="H390" i="1"/>
  <c r="H450" i="1"/>
  <c r="I450" i="1" s="1"/>
  <c r="I395" i="1" s="1"/>
  <c r="H391" i="1"/>
  <c r="H443" i="1"/>
  <c r="H439" i="1"/>
  <c r="H384" i="1" s="1"/>
  <c r="H436" i="1"/>
  <c r="H381" i="1" s="1"/>
  <c r="H423" i="1"/>
  <c r="H421" i="1"/>
  <c r="H419" i="1"/>
  <c r="H418" i="1"/>
  <c r="H417" i="1"/>
  <c r="H416" i="1"/>
  <c r="I415" i="1"/>
  <c r="H415" i="1"/>
  <c r="H414" i="1"/>
  <c r="H413" i="1"/>
  <c r="H411" i="1"/>
  <c r="H410" i="1"/>
  <c r="H408" i="1"/>
  <c r="H407" i="1"/>
  <c r="H405" i="1"/>
  <c r="H404" i="1"/>
  <c r="H402" i="1"/>
  <c r="H393" i="1"/>
  <c r="H392" i="1"/>
  <c r="H389" i="1"/>
  <c r="H307" i="1"/>
  <c r="H306" i="1"/>
  <c r="H301" i="1"/>
  <c r="H299" i="1"/>
  <c r="H297" i="1"/>
  <c r="H296" i="1"/>
  <c r="H295" i="1"/>
  <c r="H294" i="1"/>
  <c r="I293" i="1"/>
  <c r="H293" i="1"/>
  <c r="H292" i="1"/>
  <c r="H291" i="1"/>
  <c r="H289" i="1"/>
  <c r="H288" i="1"/>
  <c r="H286" i="1"/>
  <c r="H285" i="1"/>
  <c r="H283" i="1"/>
  <c r="H282" i="1"/>
  <c r="H280" i="1"/>
  <c r="H271" i="1"/>
  <c r="H270" i="1"/>
  <c r="I263" i="1"/>
  <c r="H268" i="1"/>
  <c r="H330" i="1"/>
  <c r="I330" i="1" s="1"/>
  <c r="I273" i="1" s="1"/>
  <c r="H326" i="1"/>
  <c r="H269" i="1" s="1"/>
  <c r="H324" i="1"/>
  <c r="H321" i="1"/>
  <c r="H264" i="1" s="1"/>
  <c r="I319" i="1"/>
  <c r="H317" i="1"/>
  <c r="H260" i="1" s="1"/>
  <c r="H315" i="1"/>
  <c r="H316" i="1" s="1"/>
  <c r="H259" i="1" s="1"/>
  <c r="H208" i="1"/>
  <c r="I208" i="1" s="1"/>
  <c r="I145" i="1" s="1"/>
  <c r="H206" i="1"/>
  <c r="I206" i="1" s="1"/>
  <c r="I143" i="1" s="1"/>
  <c r="H203" i="1"/>
  <c r="I203" i="1" s="1"/>
  <c r="I140" i="1" s="1"/>
  <c r="H199" i="1"/>
  <c r="H196" i="1"/>
  <c r="H172" i="1"/>
  <c r="H170" i="1"/>
  <c r="H168" i="1"/>
  <c r="H167" i="1"/>
  <c r="H166" i="1"/>
  <c r="H165" i="1"/>
  <c r="I164" i="1"/>
  <c r="H164" i="1"/>
  <c r="H163" i="1"/>
  <c r="I162" i="1"/>
  <c r="H162" i="1"/>
  <c r="H157" i="1"/>
  <c r="H156" i="1"/>
  <c r="H154" i="1"/>
  <c r="H153" i="1"/>
  <c r="I152" i="1"/>
  <c r="I151" i="1"/>
  <c r="H150" i="1"/>
  <c r="H148" i="1"/>
  <c r="J133" i="1"/>
  <c r="J130" i="1"/>
  <c r="J128" i="1"/>
  <c r="H437" i="1" l="1"/>
  <c r="H382" i="1" s="1"/>
  <c r="H258" i="1"/>
  <c r="I365" i="1"/>
  <c r="K436" i="1"/>
  <c r="N436" i="1"/>
  <c r="Q436" i="1"/>
  <c r="C436" i="1" s="1"/>
  <c r="K315" i="1"/>
  <c r="N315" i="1"/>
  <c r="Q315" i="1"/>
  <c r="C315" i="1" s="1"/>
  <c r="K196" i="1" l="1"/>
  <c r="N208" i="1"/>
  <c r="C208" i="1"/>
  <c r="C207" i="1"/>
  <c r="L319" i="1" l="1"/>
  <c r="S13" i="1" l="1"/>
  <c r="S12" i="1"/>
  <c r="S11" i="1"/>
  <c r="S10" i="1"/>
  <c r="S9" i="1"/>
  <c r="S14" i="1"/>
  <c r="K445" i="1"/>
  <c r="N445" i="1"/>
  <c r="N390" i="1" s="1"/>
  <c r="K439" i="1"/>
  <c r="K384" i="1" s="1"/>
  <c r="K437" i="1"/>
  <c r="K382" i="1" s="1"/>
  <c r="N439" i="1"/>
  <c r="N384" i="1" s="1"/>
  <c r="N437" i="1"/>
  <c r="N382" i="1" s="1"/>
  <c r="N325" i="1"/>
  <c r="N268" i="1" s="1"/>
  <c r="K325" i="1"/>
  <c r="K268" i="1" s="1"/>
  <c r="K316" i="1"/>
  <c r="K259" i="1" s="1"/>
  <c r="N316" i="1"/>
  <c r="N259" i="1" s="1"/>
  <c r="K317" i="1"/>
  <c r="K260" i="1" s="1"/>
  <c r="K321" i="1"/>
  <c r="K264" i="1" s="1"/>
  <c r="N321" i="1"/>
  <c r="N264" i="1" s="1"/>
  <c r="N317" i="1"/>
  <c r="N260" i="1" s="1"/>
  <c r="L85" i="1"/>
  <c r="N450" i="1"/>
  <c r="O450" i="1" s="1"/>
  <c r="O395" i="1" s="1"/>
  <c r="K450" i="1"/>
  <c r="L450" i="1" s="1"/>
  <c r="L395" i="1" s="1"/>
  <c r="N446" i="1"/>
  <c r="N391" i="1" s="1"/>
  <c r="K446" i="1"/>
  <c r="K391" i="1" s="1"/>
  <c r="L445" i="1"/>
  <c r="K390" i="1"/>
  <c r="N443" i="1"/>
  <c r="K443" i="1"/>
  <c r="N429" i="1"/>
  <c r="K429" i="1"/>
  <c r="N428" i="1"/>
  <c r="K428" i="1"/>
  <c r="N423" i="1"/>
  <c r="K423" i="1"/>
  <c r="N421" i="1"/>
  <c r="K421" i="1"/>
  <c r="N419" i="1"/>
  <c r="K419" i="1"/>
  <c r="N418" i="1"/>
  <c r="K418" i="1"/>
  <c r="N417" i="1"/>
  <c r="K417" i="1"/>
  <c r="N416" i="1"/>
  <c r="K416" i="1"/>
  <c r="O415" i="1"/>
  <c r="N415" i="1"/>
  <c r="L415" i="1"/>
  <c r="K415" i="1"/>
  <c r="N414" i="1"/>
  <c r="K414" i="1"/>
  <c r="N413" i="1"/>
  <c r="K413" i="1"/>
  <c r="N411" i="1"/>
  <c r="K411" i="1"/>
  <c r="N410" i="1"/>
  <c r="K410" i="1"/>
  <c r="N408" i="1"/>
  <c r="K408" i="1"/>
  <c r="N407" i="1"/>
  <c r="K407" i="1"/>
  <c r="N405" i="1"/>
  <c r="K405" i="1"/>
  <c r="N404" i="1"/>
  <c r="K404" i="1"/>
  <c r="N402" i="1"/>
  <c r="K402" i="1"/>
  <c r="N393" i="1"/>
  <c r="K393" i="1"/>
  <c r="N392" i="1"/>
  <c r="K392" i="1"/>
  <c r="N389" i="1"/>
  <c r="K389" i="1"/>
  <c r="N381" i="1"/>
  <c r="N330" i="1"/>
  <c r="O330" i="1" s="1"/>
  <c r="O273" i="1" s="1"/>
  <c r="K330" i="1"/>
  <c r="L330" i="1" s="1"/>
  <c r="L273" i="1" s="1"/>
  <c r="N326" i="1"/>
  <c r="N269" i="1" s="1"/>
  <c r="K326" i="1"/>
  <c r="K269" i="1" s="1"/>
  <c r="N324" i="1"/>
  <c r="K324" i="1"/>
  <c r="N307" i="1"/>
  <c r="K307" i="1"/>
  <c r="N306" i="1"/>
  <c r="K306" i="1"/>
  <c r="N301" i="1"/>
  <c r="K301" i="1"/>
  <c r="N299" i="1"/>
  <c r="K299" i="1"/>
  <c r="N297" i="1"/>
  <c r="K297" i="1"/>
  <c r="N296" i="1"/>
  <c r="K296" i="1"/>
  <c r="N295" i="1"/>
  <c r="K295" i="1"/>
  <c r="N294" i="1"/>
  <c r="K294" i="1"/>
  <c r="O293" i="1"/>
  <c r="N293" i="1"/>
  <c r="L293" i="1"/>
  <c r="K293" i="1"/>
  <c r="N292" i="1"/>
  <c r="K292" i="1"/>
  <c r="N291" i="1"/>
  <c r="K291" i="1"/>
  <c r="N289" i="1"/>
  <c r="K289" i="1"/>
  <c r="N288" i="1"/>
  <c r="K288" i="1"/>
  <c r="N286" i="1"/>
  <c r="K286" i="1"/>
  <c r="N285" i="1"/>
  <c r="K285" i="1"/>
  <c r="N283" i="1"/>
  <c r="K283" i="1"/>
  <c r="N282" i="1"/>
  <c r="K282" i="1"/>
  <c r="N280" i="1"/>
  <c r="K280" i="1"/>
  <c r="N271" i="1"/>
  <c r="K271" i="1"/>
  <c r="N270" i="1"/>
  <c r="K270" i="1"/>
  <c r="O263" i="1"/>
  <c r="L263" i="1"/>
  <c r="O208" i="1"/>
  <c r="O145" i="1" s="1"/>
  <c r="K208" i="1"/>
  <c r="L208" i="1" s="1"/>
  <c r="L145" i="1" s="1"/>
  <c r="N206" i="1"/>
  <c r="O206" i="1" s="1"/>
  <c r="O143" i="1" s="1"/>
  <c r="K206" i="1"/>
  <c r="L206" i="1" s="1"/>
  <c r="L143" i="1" s="1"/>
  <c r="N203" i="1"/>
  <c r="O203" i="1" s="1"/>
  <c r="O140" i="1" s="1"/>
  <c r="K203" i="1"/>
  <c r="L203" i="1" s="1"/>
  <c r="L140" i="1" s="1"/>
  <c r="N199" i="1"/>
  <c r="K199" i="1"/>
  <c r="N196" i="1"/>
  <c r="N172" i="1"/>
  <c r="K172" i="1"/>
  <c r="N170" i="1"/>
  <c r="K170" i="1"/>
  <c r="N168" i="1"/>
  <c r="K168" i="1"/>
  <c r="N167" i="1"/>
  <c r="K167" i="1"/>
  <c r="N166" i="1"/>
  <c r="K166" i="1"/>
  <c r="N165" i="1"/>
  <c r="K165" i="1"/>
  <c r="O164" i="1"/>
  <c r="N164" i="1"/>
  <c r="L164" i="1"/>
  <c r="K164" i="1"/>
  <c r="N163" i="1"/>
  <c r="K163" i="1"/>
  <c r="O162" i="1"/>
  <c r="N162" i="1"/>
  <c r="L162" i="1"/>
  <c r="K162" i="1"/>
  <c r="N157" i="1"/>
  <c r="K157" i="1"/>
  <c r="N156" i="1"/>
  <c r="K156" i="1"/>
  <c r="N154" i="1"/>
  <c r="K154" i="1"/>
  <c r="N153" i="1"/>
  <c r="K153" i="1"/>
  <c r="O152" i="1"/>
  <c r="L152" i="1"/>
  <c r="O151" i="1"/>
  <c r="L151" i="1"/>
  <c r="N150" i="1"/>
  <c r="K150" i="1"/>
  <c r="N148" i="1"/>
  <c r="K148" i="1"/>
  <c r="P133" i="1"/>
  <c r="M133" i="1"/>
  <c r="P130" i="1"/>
  <c r="M130" i="1"/>
  <c r="P128" i="1"/>
  <c r="M128" i="1"/>
  <c r="K258" i="1" l="1"/>
  <c r="N258" i="1"/>
  <c r="K381" i="1"/>
  <c r="J60" i="1"/>
  <c r="Q317" i="1"/>
  <c r="Q439" i="1"/>
  <c r="Q321" i="1"/>
  <c r="D309" i="1"/>
  <c r="F106" i="1" l="1"/>
  <c r="I88" i="1"/>
  <c r="I87" i="1"/>
  <c r="Q445" i="1" l="1"/>
  <c r="C445" i="1" s="1"/>
  <c r="R445" i="1"/>
  <c r="R390" i="1"/>
  <c r="Q325" i="1"/>
  <c r="C325" i="1" s="1"/>
  <c r="R325" i="1"/>
  <c r="H239" i="1" l="1"/>
  <c r="S133" i="1" l="1"/>
  <c r="V133" i="1"/>
  <c r="V130" i="1"/>
  <c r="V128" i="1"/>
  <c r="T439" i="1"/>
  <c r="T384" i="1" s="1"/>
  <c r="T436" i="1"/>
  <c r="T437" i="1" s="1"/>
  <c r="T382" i="1" s="1"/>
  <c r="T321" i="1"/>
  <c r="T264" i="1" s="1"/>
  <c r="T317" i="1"/>
  <c r="T260" i="1" s="1"/>
  <c r="T315" i="1"/>
  <c r="T316" i="1" s="1"/>
  <c r="T259" i="1" s="1"/>
  <c r="Q384" i="1"/>
  <c r="Q437" i="1"/>
  <c r="Q382" i="1" s="1"/>
  <c r="Q264" i="1"/>
  <c r="Q260" i="1"/>
  <c r="Q316" i="1"/>
  <c r="Q259" i="1" s="1"/>
  <c r="Q450" i="1"/>
  <c r="R450" i="1" s="1"/>
  <c r="R395" i="1" s="1"/>
  <c r="Q446" i="1"/>
  <c r="Q443" i="1"/>
  <c r="Q429" i="1"/>
  <c r="Q428" i="1"/>
  <c r="Q423" i="1"/>
  <c r="Q421" i="1"/>
  <c r="Q419" i="1"/>
  <c r="Q418" i="1"/>
  <c r="Q417" i="1"/>
  <c r="Q416" i="1"/>
  <c r="R415" i="1"/>
  <c r="Q415" i="1"/>
  <c r="Q414" i="1"/>
  <c r="Q413" i="1"/>
  <c r="Q411" i="1"/>
  <c r="Q410" i="1"/>
  <c r="Q408" i="1"/>
  <c r="Q407" i="1"/>
  <c r="Q405" i="1"/>
  <c r="Q404" i="1"/>
  <c r="Q402" i="1"/>
  <c r="Q393" i="1"/>
  <c r="Q392" i="1"/>
  <c r="Q390" i="1"/>
  <c r="Q389" i="1"/>
  <c r="R379" i="1"/>
  <c r="Q330" i="1"/>
  <c r="R330" i="1" s="1"/>
  <c r="R273" i="1" s="1"/>
  <c r="Q326" i="1"/>
  <c r="C326" i="1" s="1"/>
  <c r="Q268" i="1"/>
  <c r="Q324" i="1"/>
  <c r="Q307" i="1"/>
  <c r="Q306" i="1"/>
  <c r="Q301" i="1"/>
  <c r="Q299" i="1"/>
  <c r="Q297" i="1"/>
  <c r="Q296" i="1"/>
  <c r="Q295" i="1"/>
  <c r="Q294" i="1"/>
  <c r="R293" i="1"/>
  <c r="Q293" i="1"/>
  <c r="Q292" i="1"/>
  <c r="Q291" i="1"/>
  <c r="Q289" i="1"/>
  <c r="Q288" i="1"/>
  <c r="Q286" i="1"/>
  <c r="Q285" i="1"/>
  <c r="Q283" i="1"/>
  <c r="Q282" i="1"/>
  <c r="Q280" i="1"/>
  <c r="Q271" i="1"/>
  <c r="Q270" i="1"/>
  <c r="R263" i="1"/>
  <c r="Q208" i="1"/>
  <c r="R208" i="1" s="1"/>
  <c r="R145" i="1" s="1"/>
  <c r="Q206" i="1"/>
  <c r="R206" i="1" s="1"/>
  <c r="R143" i="1" s="1"/>
  <c r="Q203" i="1"/>
  <c r="R203" i="1" s="1"/>
  <c r="R140" i="1" s="1"/>
  <c r="Q199" i="1"/>
  <c r="Q196" i="1"/>
  <c r="Q172" i="1"/>
  <c r="Q170" i="1"/>
  <c r="Q168" i="1"/>
  <c r="Q167" i="1"/>
  <c r="Q166" i="1"/>
  <c r="Q165" i="1"/>
  <c r="R164" i="1"/>
  <c r="Q164" i="1"/>
  <c r="Q163" i="1"/>
  <c r="R162" i="1"/>
  <c r="Q162" i="1"/>
  <c r="Q157" i="1"/>
  <c r="Q156" i="1"/>
  <c r="Q154" i="1"/>
  <c r="Q153" i="1"/>
  <c r="R152" i="1"/>
  <c r="R151" i="1"/>
  <c r="Q150" i="1"/>
  <c r="Q148" i="1"/>
  <c r="Q146" i="1"/>
  <c r="S130" i="1"/>
  <c r="S128" i="1"/>
  <c r="T450" i="1"/>
  <c r="U450" i="1" s="1"/>
  <c r="U395" i="1" s="1"/>
  <c r="T446" i="1"/>
  <c r="T391" i="1" s="1"/>
  <c r="T445" i="1"/>
  <c r="T390" i="1" s="1"/>
  <c r="T443" i="1"/>
  <c r="T429" i="1"/>
  <c r="T428" i="1"/>
  <c r="T423" i="1"/>
  <c r="T421" i="1"/>
  <c r="T419" i="1"/>
  <c r="T418" i="1"/>
  <c r="T417" i="1"/>
  <c r="T416" i="1"/>
  <c r="U415" i="1"/>
  <c r="T415" i="1"/>
  <c r="T414" i="1"/>
  <c r="T413" i="1"/>
  <c r="T411" i="1"/>
  <c r="T410" i="1"/>
  <c r="T408" i="1"/>
  <c r="T407" i="1"/>
  <c r="T405" i="1"/>
  <c r="T404" i="1"/>
  <c r="T402" i="1"/>
  <c r="T393" i="1"/>
  <c r="T392" i="1"/>
  <c r="T389" i="1"/>
  <c r="U379" i="1"/>
  <c r="T330" i="1"/>
  <c r="U330" i="1" s="1"/>
  <c r="U273" i="1" s="1"/>
  <c r="T326" i="1"/>
  <c r="T269" i="1" s="1"/>
  <c r="T325" i="1"/>
  <c r="T268" i="1" s="1"/>
  <c r="T324" i="1"/>
  <c r="T307" i="1"/>
  <c r="T306" i="1"/>
  <c r="T301" i="1"/>
  <c r="T299" i="1"/>
  <c r="T297" i="1"/>
  <c r="T296" i="1"/>
  <c r="T295" i="1"/>
  <c r="T294" i="1"/>
  <c r="U293" i="1"/>
  <c r="T293" i="1"/>
  <c r="T292" i="1"/>
  <c r="T291" i="1"/>
  <c r="T289" i="1"/>
  <c r="T288" i="1"/>
  <c r="T286" i="1"/>
  <c r="T285" i="1"/>
  <c r="T283" i="1"/>
  <c r="T282" i="1"/>
  <c r="T280" i="1"/>
  <c r="T271" i="1"/>
  <c r="T270" i="1"/>
  <c r="U263" i="1"/>
  <c r="T208" i="1"/>
  <c r="U208" i="1" s="1"/>
  <c r="U145" i="1" s="1"/>
  <c r="T206" i="1"/>
  <c r="U206" i="1" s="1"/>
  <c r="U143" i="1" s="1"/>
  <c r="T203" i="1"/>
  <c r="U203" i="1" s="1"/>
  <c r="T199" i="1"/>
  <c r="T196" i="1"/>
  <c r="T172" i="1"/>
  <c r="T170" i="1"/>
  <c r="T168" i="1"/>
  <c r="T167" i="1"/>
  <c r="T166" i="1"/>
  <c r="T165" i="1"/>
  <c r="U164" i="1"/>
  <c r="T164" i="1"/>
  <c r="T163" i="1"/>
  <c r="U162" i="1"/>
  <c r="T162" i="1"/>
  <c r="T157" i="1"/>
  <c r="T156" i="1"/>
  <c r="T154" i="1"/>
  <c r="T153" i="1"/>
  <c r="U152" i="1"/>
  <c r="U151" i="1"/>
  <c r="T150" i="1"/>
  <c r="T148" i="1"/>
  <c r="T258" i="1" l="1"/>
  <c r="Q269" i="1"/>
  <c r="Q391" i="1"/>
  <c r="C446" i="1"/>
  <c r="Q258" i="1"/>
  <c r="T381" i="1"/>
  <c r="Q381" i="1"/>
  <c r="U140" i="1"/>
  <c r="J105" i="1"/>
  <c r="E183" i="1" s="1"/>
  <c r="H183" i="1" l="1"/>
  <c r="H121" i="1" s="1"/>
  <c r="E121" i="1"/>
  <c r="K183" i="1"/>
  <c r="K121" i="1" s="1"/>
  <c r="N183" i="1"/>
  <c r="N121" i="1" s="1"/>
  <c r="Q183" i="1"/>
  <c r="Q121" i="1" s="1"/>
  <c r="T183" i="1"/>
  <c r="T121" i="1" s="1"/>
  <c r="W183" i="1"/>
  <c r="W121" i="1" s="1"/>
  <c r="J94" i="1" l="1"/>
  <c r="J93" i="1"/>
  <c r="W445" i="1"/>
  <c r="W390" i="1" s="1"/>
  <c r="W325" i="1"/>
  <c r="W268" i="1" s="1"/>
  <c r="Y133" i="1"/>
  <c r="Y130" i="1"/>
  <c r="W439" i="1"/>
  <c r="W384" i="1" s="1"/>
  <c r="W436" i="1"/>
  <c r="W437" i="1" s="1"/>
  <c r="W382" i="1" s="1"/>
  <c r="W321" i="1"/>
  <c r="W264" i="1" s="1"/>
  <c r="W317" i="1"/>
  <c r="W260" i="1" s="1"/>
  <c r="W315" i="1"/>
  <c r="W258" i="1" s="1"/>
  <c r="W450" i="1"/>
  <c r="X450" i="1" s="1"/>
  <c r="X395" i="1" s="1"/>
  <c r="W446" i="1"/>
  <c r="W391" i="1" s="1"/>
  <c r="W443" i="1"/>
  <c r="W423" i="1"/>
  <c r="W421" i="1"/>
  <c r="W419" i="1"/>
  <c r="W418" i="1"/>
  <c r="W417" i="1"/>
  <c r="W416" i="1"/>
  <c r="X415" i="1"/>
  <c r="W415" i="1"/>
  <c r="W414" i="1"/>
  <c r="W413" i="1"/>
  <c r="W411" i="1"/>
  <c r="W410" i="1"/>
  <c r="W408" i="1"/>
  <c r="W407" i="1"/>
  <c r="W405" i="1"/>
  <c r="W404" i="1"/>
  <c r="W402" i="1"/>
  <c r="W393" i="1"/>
  <c r="W392" i="1"/>
  <c r="W389" i="1"/>
  <c r="X379" i="1"/>
  <c r="W330" i="1"/>
  <c r="X330" i="1" s="1"/>
  <c r="X273" i="1" s="1"/>
  <c r="W326" i="1"/>
  <c r="W269" i="1" s="1"/>
  <c r="W324" i="1"/>
  <c r="W301" i="1"/>
  <c r="W299" i="1"/>
  <c r="W297" i="1"/>
  <c r="W296" i="1"/>
  <c r="W295" i="1"/>
  <c r="W294" i="1"/>
  <c r="X293" i="1"/>
  <c r="W293" i="1"/>
  <c r="W292" i="1"/>
  <c r="W291" i="1"/>
  <c r="W289" i="1"/>
  <c r="W288" i="1"/>
  <c r="W286" i="1"/>
  <c r="W285" i="1"/>
  <c r="W283" i="1"/>
  <c r="W282" i="1"/>
  <c r="W280" i="1"/>
  <c r="W271" i="1"/>
  <c r="W270" i="1"/>
  <c r="X263" i="1"/>
  <c r="W208" i="1"/>
  <c r="X208" i="1" s="1"/>
  <c r="X145" i="1" s="1"/>
  <c r="W206" i="1"/>
  <c r="X206" i="1" s="1"/>
  <c r="X143" i="1" s="1"/>
  <c r="W203" i="1"/>
  <c r="X203" i="1" s="1"/>
  <c r="W199" i="1"/>
  <c r="W196" i="1"/>
  <c r="W172" i="1"/>
  <c r="W170" i="1"/>
  <c r="W168" i="1"/>
  <c r="W167" i="1"/>
  <c r="W166" i="1"/>
  <c r="W165" i="1"/>
  <c r="X164" i="1"/>
  <c r="W164" i="1"/>
  <c r="W163" i="1"/>
  <c r="X162" i="1"/>
  <c r="W162" i="1"/>
  <c r="W157" i="1"/>
  <c r="W156" i="1"/>
  <c r="W154" i="1"/>
  <c r="W153" i="1"/>
  <c r="X152" i="1"/>
  <c r="X151" i="1"/>
  <c r="W150" i="1"/>
  <c r="W148" i="1"/>
  <c r="W146" i="1"/>
  <c r="W144" i="1"/>
  <c r="W142" i="1"/>
  <c r="W141" i="1"/>
  <c r="Y128" i="1"/>
  <c r="W316" i="1" l="1"/>
  <c r="W259" i="1" s="1"/>
  <c r="W381" i="1"/>
  <c r="X140" i="1"/>
  <c r="C386" i="1"/>
  <c r="C441" i="1" s="1"/>
  <c r="E441" i="1" s="1"/>
  <c r="H441" i="1" l="1"/>
  <c r="H386" i="1" s="1"/>
  <c r="E386" i="1"/>
  <c r="Q441" i="1"/>
  <c r="K441" i="1"/>
  <c r="K386" i="1" s="1"/>
  <c r="N441" i="1"/>
  <c r="N386" i="1" s="1"/>
  <c r="C265" i="1"/>
  <c r="C319" i="1" l="1"/>
  <c r="C322" i="1"/>
  <c r="E322" i="1" l="1"/>
  <c r="E265" i="1" s="1"/>
  <c r="K322" i="1"/>
  <c r="K265" i="1" s="1"/>
  <c r="H322" i="1"/>
  <c r="H265" i="1" s="1"/>
  <c r="Q322" i="1"/>
  <c r="Q265" i="1" s="1"/>
  <c r="N322" i="1"/>
  <c r="N265" i="1" s="1"/>
  <c r="W322" i="1"/>
  <c r="W265" i="1" s="1"/>
  <c r="T322" i="1"/>
  <c r="T265" i="1" s="1"/>
  <c r="W441" i="1"/>
  <c r="W386" i="1" s="1"/>
  <c r="T441" i="1"/>
  <c r="T386" i="1" s="1"/>
  <c r="Q386" i="1"/>
  <c r="AB130" i="1"/>
  <c r="G105" i="1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110" i="2"/>
  <c r="G109" i="2"/>
  <c r="G108" i="2"/>
  <c r="G107" i="2"/>
  <c r="G106" i="2"/>
  <c r="G105" i="2"/>
  <c r="G104" i="2"/>
  <c r="G103" i="2"/>
  <c r="G122" i="2"/>
  <c r="G131" i="2"/>
  <c r="G130" i="2"/>
  <c r="G129" i="2"/>
  <c r="G128" i="2"/>
  <c r="G136" i="2"/>
  <c r="G135" i="2"/>
  <c r="G134" i="2"/>
  <c r="G133" i="2"/>
  <c r="G139" i="2"/>
  <c r="G138" i="2"/>
  <c r="G143" i="2"/>
  <c r="G142" i="2"/>
  <c r="G141" i="2"/>
  <c r="G146" i="2"/>
  <c r="G145" i="2"/>
  <c r="G148" i="2"/>
  <c r="G151" i="2"/>
  <c r="G150" i="2"/>
  <c r="G156" i="2"/>
  <c r="G155" i="2"/>
  <c r="G154" i="2"/>
  <c r="G153" i="2"/>
  <c r="G161" i="2"/>
  <c r="G160" i="2"/>
  <c r="G159" i="2"/>
  <c r="G158" i="2"/>
  <c r="G165" i="2"/>
  <c r="G164" i="2"/>
  <c r="G168" i="2"/>
  <c r="G167" i="2"/>
  <c r="G173" i="2"/>
  <c r="G172" i="2"/>
  <c r="G178" i="2"/>
  <c r="G177" i="2"/>
  <c r="G176" i="2"/>
  <c r="G175" i="2"/>
  <c r="G183" i="2"/>
  <c r="G182" i="2"/>
  <c r="G191" i="2"/>
  <c r="G190" i="2"/>
  <c r="G195" i="2"/>
  <c r="G204" i="2"/>
  <c r="G203" i="2"/>
  <c r="G202" i="2"/>
  <c r="G208" i="2"/>
  <c r="G207" i="2"/>
  <c r="G211" i="2"/>
  <c r="G217" i="2"/>
  <c r="G220" i="2"/>
  <c r="G219" i="2"/>
  <c r="G228" i="2"/>
  <c r="G227" i="2"/>
  <c r="G226" i="2"/>
  <c r="G225" i="2"/>
  <c r="G224" i="2"/>
  <c r="G223" i="2"/>
  <c r="G222" i="2"/>
  <c r="G233" i="2"/>
  <c r="G232" i="2"/>
  <c r="G234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83" i="2"/>
  <c r="G282" i="2"/>
  <c r="G281" i="2"/>
  <c r="G280" i="2"/>
  <c r="G279" i="2"/>
  <c r="G278" i="2"/>
  <c r="G277" i="2"/>
  <c r="G276" i="2"/>
  <c r="G275" i="2"/>
  <c r="G274" i="2"/>
  <c r="G273" i="2"/>
  <c r="G287" i="2"/>
  <c r="G286" i="2"/>
  <c r="G293" i="2"/>
  <c r="G291" i="2"/>
  <c r="G290" i="2"/>
  <c r="G289" i="2"/>
  <c r="G304" i="2"/>
  <c r="G303" i="2"/>
  <c r="G302" i="2"/>
  <c r="G301" i="2"/>
  <c r="G300" i="2"/>
  <c r="G299" i="2"/>
  <c r="G307" i="2"/>
  <c r="G306" i="2"/>
  <c r="G314" i="2"/>
  <c r="G313" i="2"/>
  <c r="G312" i="2"/>
  <c r="G311" i="2"/>
  <c r="G328" i="2"/>
  <c r="G327" i="2"/>
  <c r="G326" i="2"/>
  <c r="G325" i="2"/>
  <c r="G324" i="2"/>
  <c r="G323" i="2"/>
  <c r="G322" i="2"/>
  <c r="G321" i="2"/>
  <c r="G320" i="2"/>
  <c r="G331" i="2"/>
  <c r="G332" i="2"/>
  <c r="G333" i="2"/>
  <c r="G334" i="2"/>
  <c r="G335" i="2"/>
  <c r="G330" i="2"/>
  <c r="G336" i="2"/>
  <c r="G329" i="2"/>
  <c r="G319" i="2"/>
  <c r="G318" i="2"/>
  <c r="G317" i="2"/>
  <c r="G316" i="2"/>
  <c r="G315" i="2"/>
  <c r="G310" i="2"/>
  <c r="G309" i="2"/>
  <c r="G308" i="2"/>
  <c r="G305" i="2"/>
  <c r="G285" i="2"/>
  <c r="G288" i="2"/>
  <c r="G292" i="2"/>
  <c r="G294" i="2"/>
  <c r="G295" i="2"/>
  <c r="G296" i="2"/>
  <c r="G297" i="2"/>
  <c r="G298" i="2"/>
  <c r="G284" i="2"/>
  <c r="G272" i="2"/>
  <c r="G250" i="2"/>
  <c r="G251" i="2"/>
  <c r="G252" i="2"/>
  <c r="G253" i="2"/>
  <c r="G254" i="2"/>
  <c r="G255" i="2"/>
  <c r="G256" i="2"/>
  <c r="G257" i="2"/>
  <c r="G258" i="2"/>
  <c r="G259" i="2"/>
  <c r="G249" i="2"/>
  <c r="G218" i="2"/>
  <c r="G221" i="2"/>
  <c r="G229" i="2"/>
  <c r="G230" i="2"/>
  <c r="G231" i="2"/>
  <c r="G206" i="2"/>
  <c r="G209" i="2"/>
  <c r="G210" i="2"/>
  <c r="G212" i="2"/>
  <c r="G213" i="2"/>
  <c r="G214" i="2"/>
  <c r="G215" i="2"/>
  <c r="G216" i="2"/>
  <c r="G197" i="2"/>
  <c r="G198" i="2"/>
  <c r="G199" i="2"/>
  <c r="G200" i="2"/>
  <c r="G201" i="2"/>
  <c r="G205" i="2"/>
  <c r="G112" i="2"/>
  <c r="G113" i="2"/>
  <c r="G114" i="2"/>
  <c r="G115" i="2"/>
  <c r="G116" i="2"/>
  <c r="G117" i="2"/>
  <c r="G118" i="2"/>
  <c r="G119" i="2"/>
  <c r="G120" i="2"/>
  <c r="G121" i="2"/>
  <c r="G123" i="2"/>
  <c r="G124" i="2"/>
  <c r="G125" i="2"/>
  <c r="G126" i="2"/>
  <c r="G127" i="2"/>
  <c r="G132" i="2"/>
  <c r="G137" i="2"/>
  <c r="G140" i="2"/>
  <c r="G144" i="2"/>
  <c r="G147" i="2"/>
  <c r="G149" i="2"/>
  <c r="G152" i="2"/>
  <c r="G157" i="2"/>
  <c r="G162" i="2"/>
  <c r="G163" i="2"/>
  <c r="G166" i="2"/>
  <c r="G169" i="2"/>
  <c r="G170" i="2"/>
  <c r="G171" i="2"/>
  <c r="G174" i="2"/>
  <c r="G179" i="2"/>
  <c r="G180" i="2"/>
  <c r="G181" i="2"/>
  <c r="G184" i="2"/>
  <c r="G185" i="2"/>
  <c r="G186" i="2"/>
  <c r="G187" i="2"/>
  <c r="G188" i="2"/>
  <c r="G189" i="2"/>
  <c r="G192" i="2"/>
  <c r="G193" i="2"/>
  <c r="G194" i="2"/>
  <c r="G196" i="2"/>
  <c r="G111" i="2"/>
  <c r="G99" i="2"/>
  <c r="G100" i="2"/>
  <c r="G101" i="2"/>
  <c r="G102" i="2"/>
  <c r="G98" i="2"/>
  <c r="Z445" i="1"/>
  <c r="Z390" i="1" s="1"/>
  <c r="AC445" i="1"/>
  <c r="AC430" i="1"/>
  <c r="AC429" i="1"/>
  <c r="Z441" i="1"/>
  <c r="Z386" i="1" s="1"/>
  <c r="Z439" i="1"/>
  <c r="Z384" i="1" s="1"/>
  <c r="Z436" i="1"/>
  <c r="Z381" i="1" s="1"/>
  <c r="AC441" i="1"/>
  <c r="AC439" i="1"/>
  <c r="AC436" i="1"/>
  <c r="Z322" i="1"/>
  <c r="Z265" i="1" s="1"/>
  <c r="Z321" i="1"/>
  <c r="Z264" i="1" s="1"/>
  <c r="Z317" i="1"/>
  <c r="Z260" i="1" s="1"/>
  <c r="Z315" i="1"/>
  <c r="Z258" i="1" s="1"/>
  <c r="Z325" i="1"/>
  <c r="Z268" i="1" s="1"/>
  <c r="AC325" i="1"/>
  <c r="AC309" i="1"/>
  <c r="AC308" i="1"/>
  <c r="AC322" i="1"/>
  <c r="AC321" i="1"/>
  <c r="AC317" i="1"/>
  <c r="AC315" i="1"/>
  <c r="AF315" i="1"/>
  <c r="AF317" i="1"/>
  <c r="AF321" i="1"/>
  <c r="AF322" i="1"/>
  <c r="AB133" i="1"/>
  <c r="AB128" i="1"/>
  <c r="Z450" i="1"/>
  <c r="AA450" i="1" s="1"/>
  <c r="AA395" i="1" s="1"/>
  <c r="Z446" i="1"/>
  <c r="Z391" i="1" s="1"/>
  <c r="Z443" i="1"/>
  <c r="Z423" i="1"/>
  <c r="Z421" i="1"/>
  <c r="Z419" i="1"/>
  <c r="Z418" i="1"/>
  <c r="Z417" i="1"/>
  <c r="Z416" i="1"/>
  <c r="AA415" i="1"/>
  <c r="Z415" i="1"/>
  <c r="Z414" i="1"/>
  <c r="Z413" i="1"/>
  <c r="Z411" i="1"/>
  <c r="Z410" i="1"/>
  <c r="Z408" i="1"/>
  <c r="Z407" i="1"/>
  <c r="Z405" i="1"/>
  <c r="Z404" i="1"/>
  <c r="Z402" i="1"/>
  <c r="Z393" i="1"/>
  <c r="Z392" i="1"/>
  <c r="Z389" i="1"/>
  <c r="AA379" i="1"/>
  <c r="Z330" i="1"/>
  <c r="AA330" i="1" s="1"/>
  <c r="AA273" i="1" s="1"/>
  <c r="Z326" i="1"/>
  <c r="Z269" i="1" s="1"/>
  <c r="Z324" i="1"/>
  <c r="Z301" i="1"/>
  <c r="Z299" i="1"/>
  <c r="Z297" i="1"/>
  <c r="Z296" i="1"/>
  <c r="Z295" i="1"/>
  <c r="Z294" i="1"/>
  <c r="AA293" i="1"/>
  <c r="Z293" i="1"/>
  <c r="Z292" i="1"/>
  <c r="Z291" i="1"/>
  <c r="Z289" i="1"/>
  <c r="Z288" i="1"/>
  <c r="Z286" i="1"/>
  <c r="Z285" i="1"/>
  <c r="Z283" i="1"/>
  <c r="Z282" i="1"/>
  <c r="Z280" i="1"/>
  <c r="Z271" i="1"/>
  <c r="Z270" i="1"/>
  <c r="AA263" i="1"/>
  <c r="Z208" i="1"/>
  <c r="AA208" i="1" s="1"/>
  <c r="AA145" i="1" s="1"/>
  <c r="Z206" i="1"/>
  <c r="AA206" i="1" s="1"/>
  <c r="AA143" i="1" s="1"/>
  <c r="Z203" i="1"/>
  <c r="AA203" i="1" s="1"/>
  <c r="Z199" i="1"/>
  <c r="Z196" i="1"/>
  <c r="Z172" i="1"/>
  <c r="Z170" i="1"/>
  <c r="Z168" i="1"/>
  <c r="Z167" i="1"/>
  <c r="Z166" i="1"/>
  <c r="Z165" i="1"/>
  <c r="AA164" i="1"/>
  <c r="Z164" i="1"/>
  <c r="Z163" i="1"/>
  <c r="AA162" i="1"/>
  <c r="Z162" i="1"/>
  <c r="Z157" i="1"/>
  <c r="Z156" i="1"/>
  <c r="Z154" i="1"/>
  <c r="Z153" i="1"/>
  <c r="AA152" i="1"/>
  <c r="AA151" i="1"/>
  <c r="Z150" i="1"/>
  <c r="Z148" i="1"/>
  <c r="Z146" i="1"/>
  <c r="Z144" i="1"/>
  <c r="Z142" i="1"/>
  <c r="Z141" i="1"/>
  <c r="I105" i="1" l="1"/>
  <c r="E184" i="1" s="1"/>
  <c r="E122" i="1" s="1"/>
  <c r="Z437" i="1"/>
  <c r="Z382" i="1" s="1"/>
  <c r="Z316" i="1"/>
  <c r="Z259" i="1" s="1"/>
  <c r="AA140" i="1"/>
  <c r="AJ186" i="1"/>
  <c r="AJ182" i="1"/>
  <c r="AJ184" i="1" s="1"/>
  <c r="AC450" i="1"/>
  <c r="AD450" i="1" s="1"/>
  <c r="AD395" i="1" s="1"/>
  <c r="AC446" i="1"/>
  <c r="AC391" i="1" s="1"/>
  <c r="AC390" i="1"/>
  <c r="AC443" i="1"/>
  <c r="AC384" i="1"/>
  <c r="AC437" i="1"/>
  <c r="AC382" i="1" s="1"/>
  <c r="AC423" i="1"/>
  <c r="AC421" i="1"/>
  <c r="AC419" i="1"/>
  <c r="AC418" i="1"/>
  <c r="AC417" i="1"/>
  <c r="AC416" i="1"/>
  <c r="AD415" i="1"/>
  <c r="AC415" i="1"/>
  <c r="AC414" i="1"/>
  <c r="AC413" i="1"/>
  <c r="AC411" i="1"/>
  <c r="AC410" i="1"/>
  <c r="AC408" i="1"/>
  <c r="AC407" i="1"/>
  <c r="AC405" i="1"/>
  <c r="AC404" i="1"/>
  <c r="AC402" i="1"/>
  <c r="AC393" i="1"/>
  <c r="AC392" i="1"/>
  <c r="AC389" i="1"/>
  <c r="AD379" i="1"/>
  <c r="AC330" i="1"/>
  <c r="AD330" i="1" s="1"/>
  <c r="AD273" i="1" s="1"/>
  <c r="AC326" i="1"/>
  <c r="AC269" i="1" s="1"/>
  <c r="AC268" i="1"/>
  <c r="AC324" i="1"/>
  <c r="AC264" i="1"/>
  <c r="AC260" i="1"/>
  <c r="AC316" i="1"/>
  <c r="AC259" i="1" s="1"/>
  <c r="AC301" i="1"/>
  <c r="AC299" i="1"/>
  <c r="AC297" i="1"/>
  <c r="AC296" i="1"/>
  <c r="AC295" i="1"/>
  <c r="AC294" i="1"/>
  <c r="AD293" i="1"/>
  <c r="AC293" i="1"/>
  <c r="AC292" i="1"/>
  <c r="AC291" i="1"/>
  <c r="AC289" i="1"/>
  <c r="AC288" i="1"/>
  <c r="AC286" i="1"/>
  <c r="AC285" i="1"/>
  <c r="AC283" i="1"/>
  <c r="AC282" i="1"/>
  <c r="AC280" i="1"/>
  <c r="AC271" i="1"/>
  <c r="AC270" i="1"/>
  <c r="AD263" i="1"/>
  <c r="AC208" i="1"/>
  <c r="AD208" i="1" s="1"/>
  <c r="AD145" i="1" s="1"/>
  <c r="AC206" i="1"/>
  <c r="AD206" i="1" s="1"/>
  <c r="AD143" i="1" s="1"/>
  <c r="AC203" i="1"/>
  <c r="AD203" i="1" s="1"/>
  <c r="AC199" i="1"/>
  <c r="AC196" i="1"/>
  <c r="AC172" i="1"/>
  <c r="AC170" i="1"/>
  <c r="AC168" i="1"/>
  <c r="AC167" i="1"/>
  <c r="AC166" i="1"/>
  <c r="AC165" i="1"/>
  <c r="AD164" i="1"/>
  <c r="AC164" i="1"/>
  <c r="AC163" i="1"/>
  <c r="AD162" i="1"/>
  <c r="AC162" i="1"/>
  <c r="AC157" i="1"/>
  <c r="AC156" i="1"/>
  <c r="AC154" i="1"/>
  <c r="AC153" i="1"/>
  <c r="AD152" i="1"/>
  <c r="AD151" i="1"/>
  <c r="AC150" i="1"/>
  <c r="AC148" i="1"/>
  <c r="AC146" i="1"/>
  <c r="AC144" i="1"/>
  <c r="AC142" i="1"/>
  <c r="AC141" i="1"/>
  <c r="AE133" i="1"/>
  <c r="AE130" i="1"/>
  <c r="AE128" i="1"/>
  <c r="Z184" i="1" l="1"/>
  <c r="Q184" i="1"/>
  <c r="Q122" i="1" s="1"/>
  <c r="T184" i="1"/>
  <c r="T122" i="1" s="1"/>
  <c r="H184" i="1"/>
  <c r="H122" i="1" s="1"/>
  <c r="AC184" i="1"/>
  <c r="K184" i="1"/>
  <c r="K122" i="1" s="1"/>
  <c r="W184" i="1"/>
  <c r="W122" i="1" s="1"/>
  <c r="N184" i="1"/>
  <c r="N122" i="1" s="1"/>
  <c r="AC381" i="1"/>
  <c r="AC258" i="1"/>
  <c r="AD140" i="1"/>
  <c r="C458" i="1"/>
  <c r="C320" i="1" l="1"/>
  <c r="E320" i="1" s="1"/>
  <c r="H320" i="1" l="1"/>
  <c r="H263" i="1" s="1"/>
  <c r="E263" i="1"/>
  <c r="Q320" i="1"/>
  <c r="Q263" i="1" s="1"/>
  <c r="N320" i="1"/>
  <c r="N263" i="1" s="1"/>
  <c r="K320" i="1"/>
  <c r="K263" i="1" s="1"/>
  <c r="T320" i="1"/>
  <c r="T263" i="1" s="1"/>
  <c r="W320" i="1"/>
  <c r="W263" i="1" s="1"/>
  <c r="AC320" i="1"/>
  <c r="AC263" i="1" s="1"/>
  <c r="AF320" i="1"/>
  <c r="AF263" i="1" s="1"/>
  <c r="Z320" i="1"/>
  <c r="Z263" i="1" s="1"/>
  <c r="C263" i="1"/>
  <c r="AF150" i="1"/>
  <c r="AG151" i="1"/>
  <c r="AG152" i="1"/>
  <c r="AF162" i="1"/>
  <c r="AG162" i="1"/>
  <c r="AF163" i="1"/>
  <c r="AF164" i="1"/>
  <c r="AG164" i="1"/>
  <c r="AF165" i="1"/>
  <c r="AF166" i="1"/>
  <c r="AF167" i="1"/>
  <c r="AF168" i="1"/>
  <c r="AF170" i="1"/>
  <c r="AF172" i="1"/>
  <c r="AF148" i="1"/>
  <c r="E105" i="1"/>
  <c r="C260" i="1"/>
  <c r="AF446" i="1"/>
  <c r="AF391" i="1" s="1"/>
  <c r="AH128" i="1"/>
  <c r="AH130" i="1"/>
  <c r="AH133" i="1"/>
  <c r="AF316" i="1"/>
  <c r="AF259" i="1" s="1"/>
  <c r="AF436" i="1"/>
  <c r="AF437" i="1" s="1"/>
  <c r="AF382" i="1" s="1"/>
  <c r="AF439" i="1"/>
  <c r="AF384" i="1" s="1"/>
  <c r="AF445" i="1"/>
  <c r="AF390" i="1" s="1"/>
  <c r="AF423" i="1"/>
  <c r="AF421" i="1"/>
  <c r="AF419" i="1"/>
  <c r="AF418" i="1"/>
  <c r="AF417" i="1"/>
  <c r="AF416" i="1"/>
  <c r="AG415" i="1"/>
  <c r="AF415" i="1"/>
  <c r="AF414" i="1"/>
  <c r="AF413" i="1"/>
  <c r="AF402" i="1"/>
  <c r="AG379" i="1"/>
  <c r="AF389" i="1"/>
  <c r="AF392" i="1"/>
  <c r="AF393" i="1"/>
  <c r="AF280" i="1"/>
  <c r="AF291" i="1"/>
  <c r="AF292" i="1"/>
  <c r="AF293" i="1"/>
  <c r="AF294" i="1"/>
  <c r="AF295" i="1"/>
  <c r="AF296" i="1"/>
  <c r="AF297" i="1"/>
  <c r="AF299" i="1"/>
  <c r="AF301" i="1"/>
  <c r="AG293" i="1"/>
  <c r="AG263" i="1"/>
  <c r="AF270" i="1"/>
  <c r="AF271" i="1"/>
  <c r="AF326" i="1"/>
  <c r="AF269" i="1" s="1"/>
  <c r="AF264" i="1"/>
  <c r="AF260" i="1"/>
  <c r="AF325" i="1"/>
  <c r="AF268" i="1" s="1"/>
  <c r="AF141" i="1"/>
  <c r="AF142" i="1"/>
  <c r="AF144" i="1"/>
  <c r="AF146" i="1"/>
  <c r="C454" i="1"/>
  <c r="C453" i="1"/>
  <c r="AC386" i="1"/>
  <c r="C440" i="1"/>
  <c r="E440" i="1" s="1"/>
  <c r="C385" i="1"/>
  <c r="D376" i="1"/>
  <c r="E434" i="1" s="1"/>
  <c r="D370" i="1"/>
  <c r="C334" i="1"/>
  <c r="C333" i="1"/>
  <c r="AC265" i="1"/>
  <c r="D252" i="1"/>
  <c r="E313" i="1" s="1"/>
  <c r="D244" i="1"/>
  <c r="K239" i="1" s="1"/>
  <c r="C200" i="1"/>
  <c r="C198" i="1"/>
  <c r="C195" i="1"/>
  <c r="C194" i="1"/>
  <c r="C192" i="1"/>
  <c r="C133" i="1"/>
  <c r="D111" i="1"/>
  <c r="C106" i="1"/>
  <c r="G106" i="1" s="1"/>
  <c r="H105" i="1"/>
  <c r="E185" i="1" s="1"/>
  <c r="F105" i="1"/>
  <c r="E182" i="1" s="1"/>
  <c r="D105" i="1"/>
  <c r="C105" i="1"/>
  <c r="E191" i="1" s="1"/>
  <c r="B105" i="1"/>
  <c r="E195" i="1" l="1"/>
  <c r="E133" i="1" s="1"/>
  <c r="H182" i="1"/>
  <c r="H120" i="1" s="1"/>
  <c r="E120" i="1"/>
  <c r="H434" i="1"/>
  <c r="H379" i="1" s="1"/>
  <c r="H185" i="1"/>
  <c r="H123" i="1" s="1"/>
  <c r="E123" i="1"/>
  <c r="H313" i="1"/>
  <c r="H319" i="1" s="1"/>
  <c r="H262" i="1" s="1"/>
  <c r="H191" i="1"/>
  <c r="H129" i="1" s="1"/>
  <c r="E129" i="1"/>
  <c r="H440" i="1"/>
  <c r="H385" i="1" s="1"/>
  <c r="E385" i="1"/>
  <c r="Q195" i="1"/>
  <c r="Q133" i="1" s="1"/>
  <c r="H195" i="1"/>
  <c r="H133" i="1" s="1"/>
  <c r="Q440" i="1"/>
  <c r="Q385" i="1" s="1"/>
  <c r="N440" i="1"/>
  <c r="N385" i="1" s="1"/>
  <c r="K440" i="1"/>
  <c r="K385" i="1" s="1"/>
  <c r="K195" i="1"/>
  <c r="K133" i="1" s="1"/>
  <c r="N195" i="1"/>
  <c r="N133" i="1" s="1"/>
  <c r="N182" i="1"/>
  <c r="N120" i="1" s="1"/>
  <c r="K182" i="1"/>
  <c r="K120" i="1" s="1"/>
  <c r="K434" i="1"/>
  <c r="N434" i="1"/>
  <c r="K185" i="1"/>
  <c r="K123" i="1" s="1"/>
  <c r="N185" i="1"/>
  <c r="N123" i="1" s="1"/>
  <c r="K313" i="1"/>
  <c r="N313" i="1"/>
  <c r="K191" i="1"/>
  <c r="K129" i="1" s="1"/>
  <c r="N191" i="1"/>
  <c r="N129" i="1" s="1"/>
  <c r="Q185" i="1"/>
  <c r="Q123" i="1" s="1"/>
  <c r="J106" i="1"/>
  <c r="Q313" i="1"/>
  <c r="L365" i="1"/>
  <c r="Q191" i="1"/>
  <c r="Q129" i="1" s="1"/>
  <c r="Q182" i="1"/>
  <c r="Q120" i="1" s="1"/>
  <c r="Q434" i="1"/>
  <c r="T185" i="1"/>
  <c r="T123" i="1" s="1"/>
  <c r="T182" i="1"/>
  <c r="T120" i="1" s="1"/>
  <c r="T191" i="1"/>
  <c r="T129" i="1" s="1"/>
  <c r="AC195" i="1"/>
  <c r="AC133" i="1" s="1"/>
  <c r="T195" i="1"/>
  <c r="T133" i="1" s="1"/>
  <c r="T313" i="1"/>
  <c r="T434" i="1"/>
  <c r="T440" i="1"/>
  <c r="T385" i="1" s="1"/>
  <c r="W434" i="1"/>
  <c r="W379" i="1" s="1"/>
  <c r="W440" i="1"/>
  <c r="W385" i="1" s="1"/>
  <c r="W182" i="1"/>
  <c r="W120" i="1" s="1"/>
  <c r="W185" i="1"/>
  <c r="W123" i="1" s="1"/>
  <c r="W191" i="1"/>
  <c r="W129" i="1" s="1"/>
  <c r="W195" i="1"/>
  <c r="W133" i="1" s="1"/>
  <c r="W313" i="1"/>
  <c r="W314" i="1" s="1"/>
  <c r="W257" i="1" s="1"/>
  <c r="Z434" i="1"/>
  <c r="AC434" i="1"/>
  <c r="AC440" i="1"/>
  <c r="AC385" i="1" s="1"/>
  <c r="Z440" i="1"/>
  <c r="Z385" i="1" s="1"/>
  <c r="Z313" i="1"/>
  <c r="Z195" i="1"/>
  <c r="Z133" i="1" s="1"/>
  <c r="C257" i="1"/>
  <c r="AC313" i="1"/>
  <c r="AF313" i="1"/>
  <c r="AF256" i="1" s="1"/>
  <c r="Z185" i="1"/>
  <c r="Z123" i="1" s="1"/>
  <c r="AC185" i="1"/>
  <c r="AC123" i="1" s="1"/>
  <c r="AC122" i="1"/>
  <c r="Z122" i="1"/>
  <c r="AC191" i="1"/>
  <c r="AC129" i="1" s="1"/>
  <c r="Z191" i="1"/>
  <c r="Z129" i="1" s="1"/>
  <c r="AC182" i="1"/>
  <c r="AC120" i="1" s="1"/>
  <c r="Z182" i="1"/>
  <c r="Z120" i="1" s="1"/>
  <c r="AF434" i="1"/>
  <c r="AF379" i="1" s="1"/>
  <c r="AF440" i="1"/>
  <c r="AF385" i="1" s="1"/>
  <c r="AF185" i="1"/>
  <c r="AF123" i="1" s="1"/>
  <c r="AF441" i="1"/>
  <c r="AF386" i="1" s="1"/>
  <c r="D113" i="1"/>
  <c r="S27" i="1"/>
  <c r="T27" i="1" s="1"/>
  <c r="U27" i="1" s="1"/>
  <c r="V27" i="1" s="1"/>
  <c r="W27" i="1" s="1"/>
  <c r="S25" i="1"/>
  <c r="T25" i="1" s="1"/>
  <c r="U25" i="1" s="1"/>
  <c r="V25" i="1" s="1"/>
  <c r="W25" i="1" s="1"/>
  <c r="S23" i="1"/>
  <c r="T23" i="1" s="1"/>
  <c r="U23" i="1" s="1"/>
  <c r="V23" i="1" s="1"/>
  <c r="W23" i="1" s="1"/>
  <c r="S21" i="1"/>
  <c r="T21" i="1" s="1"/>
  <c r="U21" i="1" s="1"/>
  <c r="V21" i="1" s="1"/>
  <c r="W21" i="1" s="1"/>
  <c r="S19" i="1"/>
  <c r="T19" i="1" s="1"/>
  <c r="U19" i="1" s="1"/>
  <c r="V19" i="1" s="1"/>
  <c r="W19" i="1" s="1"/>
  <c r="S17" i="1"/>
  <c r="T17" i="1" s="1"/>
  <c r="U17" i="1" s="1"/>
  <c r="V17" i="1" s="1"/>
  <c r="W17" i="1" s="1"/>
  <c r="R26" i="1"/>
  <c r="R20" i="1"/>
  <c r="R27" i="1"/>
  <c r="R25" i="1"/>
  <c r="R23" i="1"/>
  <c r="R21" i="1"/>
  <c r="R19" i="1"/>
  <c r="R17" i="1"/>
  <c r="R28" i="1"/>
  <c r="S28" i="1"/>
  <c r="T28" i="1" s="1"/>
  <c r="U28" i="1" s="1"/>
  <c r="V28" i="1" s="1"/>
  <c r="W28" i="1" s="1"/>
  <c r="S26" i="1"/>
  <c r="T26" i="1" s="1"/>
  <c r="U26" i="1" s="1"/>
  <c r="V26" i="1" s="1"/>
  <c r="W26" i="1" s="1"/>
  <c r="S24" i="1"/>
  <c r="T24" i="1" s="1"/>
  <c r="U24" i="1" s="1"/>
  <c r="V24" i="1" s="1"/>
  <c r="W24" i="1" s="1"/>
  <c r="S22" i="1"/>
  <c r="T22" i="1" s="1"/>
  <c r="U22" i="1" s="1"/>
  <c r="V22" i="1" s="1"/>
  <c r="W22" i="1" s="1"/>
  <c r="S20" i="1"/>
  <c r="T20" i="1" s="1"/>
  <c r="U20" i="1" s="1"/>
  <c r="V20" i="1" s="1"/>
  <c r="W20" i="1" s="1"/>
  <c r="S18" i="1"/>
  <c r="T18" i="1" s="1"/>
  <c r="U18" i="1" s="1"/>
  <c r="V18" i="1" s="1"/>
  <c r="W18" i="1" s="1"/>
  <c r="R24" i="1"/>
  <c r="R22" i="1"/>
  <c r="R18" i="1"/>
  <c r="C268" i="1"/>
  <c r="AF381" i="1"/>
  <c r="C381" i="1"/>
  <c r="C269" i="1"/>
  <c r="C390" i="1"/>
  <c r="C391" i="1"/>
  <c r="AF182" i="1"/>
  <c r="AF120" i="1" s="1"/>
  <c r="AF191" i="1"/>
  <c r="AF129" i="1" s="1"/>
  <c r="AF184" i="1"/>
  <c r="AF122" i="1" s="1"/>
  <c r="AF258" i="1"/>
  <c r="C258" i="1"/>
  <c r="AF195" i="1"/>
  <c r="AF133" i="1" s="1"/>
  <c r="R71" i="1"/>
  <c r="S64" i="1"/>
  <c r="T64" i="1" s="1"/>
  <c r="U64" i="1" s="1"/>
  <c r="V64" i="1" s="1"/>
  <c r="W64" i="1" s="1"/>
  <c r="S66" i="1"/>
  <c r="T66" i="1" s="1"/>
  <c r="U66" i="1" s="1"/>
  <c r="V66" i="1" s="1"/>
  <c r="W66" i="1" s="1"/>
  <c r="R68" i="1"/>
  <c r="R70" i="1"/>
  <c r="S71" i="1"/>
  <c r="T71" i="1" s="1"/>
  <c r="U71" i="1" s="1"/>
  <c r="V71" i="1" s="1"/>
  <c r="W71" i="1" s="1"/>
  <c r="S73" i="1"/>
  <c r="T73" i="1" s="1"/>
  <c r="U73" i="1" s="1"/>
  <c r="V73" i="1" s="1"/>
  <c r="W73" i="1" s="1"/>
  <c r="R64" i="1"/>
  <c r="S69" i="1"/>
  <c r="T69" i="1" s="1"/>
  <c r="U69" i="1" s="1"/>
  <c r="V69" i="1" s="1"/>
  <c r="W69" i="1" s="1"/>
  <c r="R63" i="1"/>
  <c r="R65" i="1"/>
  <c r="R67" i="1"/>
  <c r="S68" i="1"/>
  <c r="T68" i="1" s="1"/>
  <c r="U68" i="1" s="1"/>
  <c r="V68" i="1" s="1"/>
  <c r="W68" i="1" s="1"/>
  <c r="S70" i="1"/>
  <c r="T70" i="1" s="1"/>
  <c r="U70" i="1" s="1"/>
  <c r="V70" i="1" s="1"/>
  <c r="W70" i="1" s="1"/>
  <c r="R72" i="1"/>
  <c r="R74" i="1"/>
  <c r="R66" i="1"/>
  <c r="R73" i="1"/>
  <c r="S63" i="1"/>
  <c r="T63" i="1" s="1"/>
  <c r="U63" i="1" s="1"/>
  <c r="V63" i="1" s="1"/>
  <c r="W63" i="1" s="1"/>
  <c r="S65" i="1"/>
  <c r="T65" i="1" s="1"/>
  <c r="U65" i="1" s="1"/>
  <c r="V65" i="1" s="1"/>
  <c r="W65" i="1" s="1"/>
  <c r="S67" i="1"/>
  <c r="T67" i="1" s="1"/>
  <c r="U67" i="1" s="1"/>
  <c r="V67" i="1" s="1"/>
  <c r="W67" i="1" s="1"/>
  <c r="R69" i="1"/>
  <c r="S72" i="1"/>
  <c r="T72" i="1" s="1"/>
  <c r="U72" i="1" s="1"/>
  <c r="V72" i="1" s="1"/>
  <c r="W72" i="1" s="1"/>
  <c r="S74" i="1"/>
  <c r="T74" i="1" s="1"/>
  <c r="U74" i="1" s="1"/>
  <c r="V74" i="1" s="1"/>
  <c r="W74" i="1" s="1"/>
  <c r="AF265" i="1"/>
  <c r="S52" i="1"/>
  <c r="T52" i="1" s="1"/>
  <c r="U52" i="1" s="1"/>
  <c r="V52" i="1" s="1"/>
  <c r="W52" i="1" s="1"/>
  <c r="R47" i="1"/>
  <c r="S48" i="1"/>
  <c r="T48" i="1" s="1"/>
  <c r="U48" i="1" s="1"/>
  <c r="V48" i="1" s="1"/>
  <c r="W48" i="1" s="1"/>
  <c r="S54" i="1"/>
  <c r="T54" i="1" s="1"/>
  <c r="U54" i="1" s="1"/>
  <c r="V54" i="1" s="1"/>
  <c r="W54" i="1" s="1"/>
  <c r="S50" i="1"/>
  <c r="T50" i="1" s="1"/>
  <c r="U50" i="1" s="1"/>
  <c r="V50" i="1" s="1"/>
  <c r="W50" i="1" s="1"/>
  <c r="R55" i="1"/>
  <c r="D114" i="1"/>
  <c r="S46" i="1"/>
  <c r="T46" i="1" s="1"/>
  <c r="U46" i="1" s="1"/>
  <c r="V46" i="1" s="1"/>
  <c r="W46" i="1" s="1"/>
  <c r="R51" i="1"/>
  <c r="S56" i="1"/>
  <c r="T56" i="1" s="1"/>
  <c r="U56" i="1" s="1"/>
  <c r="V56" i="1" s="1"/>
  <c r="W56" i="1" s="1"/>
  <c r="R49" i="1"/>
  <c r="R53" i="1"/>
  <c r="R57" i="1"/>
  <c r="C187" i="1"/>
  <c r="C125" i="1" s="1"/>
  <c r="R48" i="1"/>
  <c r="S49" i="1"/>
  <c r="T49" i="1" s="1"/>
  <c r="U49" i="1" s="1"/>
  <c r="V49" i="1" s="1"/>
  <c r="W49" i="1" s="1"/>
  <c r="R52" i="1"/>
  <c r="S53" i="1"/>
  <c r="T53" i="1" s="1"/>
  <c r="U53" i="1" s="1"/>
  <c r="V53" i="1" s="1"/>
  <c r="W53" i="1" s="1"/>
  <c r="R56" i="1"/>
  <c r="S57" i="1"/>
  <c r="T57" i="1" s="1"/>
  <c r="U57" i="1" s="1"/>
  <c r="V57" i="1" s="1"/>
  <c r="W57" i="1" s="1"/>
  <c r="R46" i="1"/>
  <c r="S47" i="1"/>
  <c r="T47" i="1" s="1"/>
  <c r="U47" i="1" s="1"/>
  <c r="V47" i="1" s="1"/>
  <c r="W47" i="1" s="1"/>
  <c r="R50" i="1"/>
  <c r="S51" i="1"/>
  <c r="T51" i="1" s="1"/>
  <c r="U51" i="1" s="1"/>
  <c r="V51" i="1" s="1"/>
  <c r="W51" i="1" s="1"/>
  <c r="R54" i="1"/>
  <c r="S55" i="1"/>
  <c r="T55" i="1" s="1"/>
  <c r="U55" i="1" s="1"/>
  <c r="V55" i="1" s="1"/>
  <c r="W55" i="1" s="1"/>
  <c r="C314" i="1"/>
  <c r="E201" i="1" l="1"/>
  <c r="C201" i="1" s="1"/>
  <c r="E198" i="1"/>
  <c r="E136" i="1" s="1"/>
  <c r="E194" i="1"/>
  <c r="E132" i="1" s="1"/>
  <c r="H256" i="1"/>
  <c r="H314" i="1"/>
  <c r="H257" i="1" s="1"/>
  <c r="E190" i="1"/>
  <c r="E128" i="1" s="1"/>
  <c r="H201" i="1"/>
  <c r="H200" i="1"/>
  <c r="H138" i="1" s="1"/>
  <c r="E200" i="1"/>
  <c r="E138" i="1" s="1"/>
  <c r="E181" i="1"/>
  <c r="H198" i="1"/>
  <c r="H136" i="1" s="1"/>
  <c r="E319" i="1"/>
  <c r="E262" i="1" s="1"/>
  <c r="E314" i="1"/>
  <c r="E257" i="1" s="1"/>
  <c r="E256" i="1"/>
  <c r="H181" i="1"/>
  <c r="H119" i="1" s="1"/>
  <c r="E435" i="1"/>
  <c r="E379" i="1"/>
  <c r="H435" i="1"/>
  <c r="H194" i="1"/>
  <c r="H132" i="1" s="1"/>
  <c r="H190" i="1"/>
  <c r="H128" i="1" s="1"/>
  <c r="K194" i="1"/>
  <c r="N194" i="1"/>
  <c r="N132" i="1" s="1"/>
  <c r="K198" i="1"/>
  <c r="K136" i="1" s="1"/>
  <c r="N200" i="1"/>
  <c r="N138" i="1" s="1"/>
  <c r="N198" i="1"/>
  <c r="N136" i="1" s="1"/>
  <c r="K200" i="1"/>
  <c r="K138" i="1" s="1"/>
  <c r="K190" i="1"/>
  <c r="K128" i="1" s="1"/>
  <c r="N190" i="1"/>
  <c r="N128" i="1" s="1"/>
  <c r="K132" i="1"/>
  <c r="K181" i="1"/>
  <c r="N181" i="1"/>
  <c r="K256" i="1"/>
  <c r="K319" i="1"/>
  <c r="K262" i="1" s="1"/>
  <c r="K314" i="1"/>
  <c r="K257" i="1" s="1"/>
  <c r="Q181" i="1"/>
  <c r="K379" i="1"/>
  <c r="K435" i="1"/>
  <c r="K438" i="1" s="1"/>
  <c r="K383" i="1" s="1"/>
  <c r="N435" i="1"/>
  <c r="N379" i="1"/>
  <c r="N256" i="1"/>
  <c r="N314" i="1"/>
  <c r="N257" i="1" s="1"/>
  <c r="N319" i="1"/>
  <c r="N262" i="1" s="1"/>
  <c r="Q198" i="1"/>
  <c r="Q136" i="1" s="1"/>
  <c r="Q190" i="1"/>
  <c r="Q128" i="1" s="1"/>
  <c r="Q194" i="1"/>
  <c r="Q132" i="1" s="1"/>
  <c r="T190" i="1"/>
  <c r="T128" i="1" s="1"/>
  <c r="W256" i="1"/>
  <c r="W319" i="1"/>
  <c r="W262" i="1" s="1"/>
  <c r="T194" i="1"/>
  <c r="T132" i="1" s="1"/>
  <c r="T181" i="1"/>
  <c r="AC194" i="1"/>
  <c r="AF177" i="1" s="1"/>
  <c r="W194" i="1"/>
  <c r="W132" i="1" s="1"/>
  <c r="Z194" i="1"/>
  <c r="Z132" i="1" s="1"/>
  <c r="AF194" i="1"/>
  <c r="AF132" i="1" s="1"/>
  <c r="W435" i="1"/>
  <c r="T200" i="1"/>
  <c r="T138" i="1" s="1"/>
  <c r="T198" i="1"/>
  <c r="T136" i="1" s="1"/>
  <c r="Q200" i="1"/>
  <c r="Q138" i="1" s="1"/>
  <c r="T314" i="1"/>
  <c r="T256" i="1"/>
  <c r="T319" i="1"/>
  <c r="T262" i="1" s="1"/>
  <c r="Q435" i="1"/>
  <c r="Q379" i="1"/>
  <c r="Q319" i="1"/>
  <c r="Q262" i="1" s="1"/>
  <c r="Q256" i="1"/>
  <c r="Q314" i="1"/>
  <c r="T435" i="1"/>
  <c r="T379" i="1"/>
  <c r="W198" i="1"/>
  <c r="Z198" i="1"/>
  <c r="Z136" i="1" s="1"/>
  <c r="W190" i="1"/>
  <c r="W128" i="1" s="1"/>
  <c r="W200" i="1"/>
  <c r="W138" i="1" s="1"/>
  <c r="W181" i="1"/>
  <c r="Z435" i="1"/>
  <c r="Z379" i="1"/>
  <c r="Z256" i="1"/>
  <c r="Z314" i="1"/>
  <c r="Z257" i="1" s="1"/>
  <c r="Z319" i="1"/>
  <c r="Z262" i="1" s="1"/>
  <c r="Z190" i="1"/>
  <c r="Z128" i="1" s="1"/>
  <c r="AC198" i="1"/>
  <c r="AC136" i="1" s="1"/>
  <c r="AC190" i="1"/>
  <c r="AC128" i="1" s="1"/>
  <c r="Z200" i="1"/>
  <c r="Z138" i="1" s="1"/>
  <c r="Z181" i="1"/>
  <c r="AC181" i="1"/>
  <c r="AC119" i="1" s="1"/>
  <c r="AF435" i="1"/>
  <c r="AF438" i="1" s="1"/>
  <c r="AF383" i="1" s="1"/>
  <c r="AF314" i="1"/>
  <c r="AF257" i="1" s="1"/>
  <c r="AF319" i="1"/>
  <c r="AC379" i="1"/>
  <c r="AC435" i="1"/>
  <c r="AC438" i="1" s="1"/>
  <c r="AC383" i="1" s="1"/>
  <c r="AC200" i="1"/>
  <c r="AC138" i="1" s="1"/>
  <c r="AC314" i="1"/>
  <c r="AC256" i="1"/>
  <c r="AC319" i="1"/>
  <c r="AC262" i="1" s="1"/>
  <c r="AF181" i="1"/>
  <c r="AF119" i="1" s="1"/>
  <c r="I28" i="1"/>
  <c r="I19" i="1"/>
  <c r="I23" i="1"/>
  <c r="I20" i="1"/>
  <c r="I24" i="1"/>
  <c r="I27" i="1"/>
  <c r="AF198" i="1"/>
  <c r="AF136" i="1" s="1"/>
  <c r="I26" i="1"/>
  <c r="I18" i="1"/>
  <c r="I25" i="1"/>
  <c r="I17" i="1"/>
  <c r="I22" i="1"/>
  <c r="I21" i="1"/>
  <c r="I67" i="1"/>
  <c r="I71" i="1"/>
  <c r="I64" i="1"/>
  <c r="AF190" i="1"/>
  <c r="AF128" i="1" s="1"/>
  <c r="AF200" i="1"/>
  <c r="AF138" i="1" s="1"/>
  <c r="I72" i="1"/>
  <c r="I65" i="1"/>
  <c r="I70" i="1"/>
  <c r="I63" i="1"/>
  <c r="I74" i="1"/>
  <c r="I68" i="1"/>
  <c r="I69" i="1"/>
  <c r="I73" i="1"/>
  <c r="I66" i="1"/>
  <c r="I54" i="1"/>
  <c r="I46" i="1"/>
  <c r="I50" i="1"/>
  <c r="I49" i="1"/>
  <c r="I56" i="1"/>
  <c r="I48" i="1"/>
  <c r="I57" i="1"/>
  <c r="I53" i="1"/>
  <c r="I52" i="1"/>
  <c r="I55" i="1"/>
  <c r="I51" i="1"/>
  <c r="I47" i="1"/>
  <c r="E186" i="1" l="1"/>
  <c r="H318" i="1"/>
  <c r="I331" i="1" s="1"/>
  <c r="H187" i="1"/>
  <c r="H125" i="1" s="1"/>
  <c r="H192" i="1"/>
  <c r="H130" i="1" s="1"/>
  <c r="E318" i="1"/>
  <c r="E323" i="1" s="1"/>
  <c r="H380" i="1"/>
  <c r="H438" i="1"/>
  <c r="I454" i="1" s="1"/>
  <c r="I399" i="1" s="1"/>
  <c r="H186" i="1"/>
  <c r="H188" i="1" s="1"/>
  <c r="H126" i="1" s="1"/>
  <c r="E187" i="1"/>
  <c r="E125" i="1" s="1"/>
  <c r="E119" i="1"/>
  <c r="E192" i="1"/>
  <c r="E130" i="1" s="1"/>
  <c r="E380" i="1"/>
  <c r="E438" i="1"/>
  <c r="F451" i="1" s="1"/>
  <c r="I332" i="1"/>
  <c r="I275" i="1" s="1"/>
  <c r="H261" i="1"/>
  <c r="I334" i="1"/>
  <c r="I277" i="1" s="1"/>
  <c r="K186" i="1"/>
  <c r="N186" i="1"/>
  <c r="Q186" i="1"/>
  <c r="K318" i="1"/>
  <c r="L331" i="1" s="1"/>
  <c r="N438" i="1"/>
  <c r="N383" i="1" s="1"/>
  <c r="L454" i="1"/>
  <c r="L399" i="1" s="1"/>
  <c r="L453" i="1"/>
  <c r="L398" i="1" s="1"/>
  <c r="K442" i="1"/>
  <c r="K449" i="1" s="1"/>
  <c r="L452" i="1"/>
  <c r="L397" i="1" s="1"/>
  <c r="L469" i="1"/>
  <c r="L473" i="1" s="1"/>
  <c r="L418" i="1" s="1"/>
  <c r="N192" i="1"/>
  <c r="N130" i="1" s="1"/>
  <c r="N119" i="1"/>
  <c r="N187" i="1"/>
  <c r="N125" i="1" s="1"/>
  <c r="N380" i="1"/>
  <c r="N318" i="1"/>
  <c r="O333" i="1" s="1"/>
  <c r="L451" i="1"/>
  <c r="K380" i="1"/>
  <c r="K119" i="1"/>
  <c r="K192" i="1"/>
  <c r="K130" i="1" s="1"/>
  <c r="K187" i="1"/>
  <c r="W318" i="1"/>
  <c r="W261" i="1" s="1"/>
  <c r="AC132" i="1"/>
  <c r="T438" i="1"/>
  <c r="T383" i="1" s="1"/>
  <c r="T186" i="1"/>
  <c r="W438" i="1"/>
  <c r="X452" i="1" s="1"/>
  <c r="X397" i="1" s="1"/>
  <c r="W380" i="1"/>
  <c r="T257" i="1"/>
  <c r="Q257" i="1"/>
  <c r="Q318" i="1"/>
  <c r="Q261" i="1" s="1"/>
  <c r="Q119" i="1"/>
  <c r="Q192" i="1"/>
  <c r="Q130" i="1" s="1"/>
  <c r="Q187" i="1"/>
  <c r="Q125" i="1" s="1"/>
  <c r="Q380" i="1"/>
  <c r="Q438" i="1"/>
  <c r="R454" i="1" s="1"/>
  <c r="T318" i="1"/>
  <c r="U334" i="1" s="1"/>
  <c r="T119" i="1"/>
  <c r="T187" i="1"/>
  <c r="T125" i="1" s="1"/>
  <c r="T192" i="1"/>
  <c r="T130" i="1" s="1"/>
  <c r="T380" i="1"/>
  <c r="W186" i="1"/>
  <c r="W188" i="1" s="1"/>
  <c r="W126" i="1" s="1"/>
  <c r="W192" i="1"/>
  <c r="W130" i="1" s="1"/>
  <c r="W187" i="1"/>
  <c r="W136" i="1"/>
  <c r="X198" i="1"/>
  <c r="W119" i="1"/>
  <c r="AF380" i="1"/>
  <c r="Z380" i="1"/>
  <c r="Z438" i="1"/>
  <c r="Z318" i="1"/>
  <c r="Z186" i="1"/>
  <c r="AC186" i="1"/>
  <c r="AC124" i="1" s="1"/>
  <c r="Z119" i="1"/>
  <c r="Z192" i="1"/>
  <c r="Z130" i="1" s="1"/>
  <c r="Z187" i="1"/>
  <c r="Z125" i="1" s="1"/>
  <c r="AD469" i="1"/>
  <c r="AD414" i="1" s="1"/>
  <c r="AD451" i="1"/>
  <c r="AD396" i="1" s="1"/>
  <c r="AF318" i="1"/>
  <c r="AF261" i="1" s="1"/>
  <c r="AC318" i="1"/>
  <c r="AC261" i="1" s="1"/>
  <c r="AC442" i="1"/>
  <c r="AC449" i="1" s="1"/>
  <c r="AF262" i="1"/>
  <c r="AD453" i="1"/>
  <c r="AD398" i="1" s="1"/>
  <c r="AC257" i="1"/>
  <c r="AD474" i="1"/>
  <c r="AD419" i="1" s="1"/>
  <c r="AC192" i="1"/>
  <c r="AC130" i="1" s="1"/>
  <c r="AD452" i="1"/>
  <c r="AD397" i="1" s="1"/>
  <c r="AD454" i="1"/>
  <c r="AD399" i="1" s="1"/>
  <c r="AC380" i="1"/>
  <c r="AC187" i="1"/>
  <c r="AF187" i="1"/>
  <c r="AF125" i="1" s="1"/>
  <c r="AF192" i="1"/>
  <c r="AF130" i="1" s="1"/>
  <c r="AF186" i="1"/>
  <c r="AG469" i="1"/>
  <c r="AF442" i="1"/>
  <c r="I349" i="1" l="1"/>
  <c r="I355" i="1" s="1"/>
  <c r="I297" i="1" s="1"/>
  <c r="I333" i="1"/>
  <c r="I276" i="1" s="1"/>
  <c r="H323" i="1"/>
  <c r="H329" i="1" s="1"/>
  <c r="I469" i="1"/>
  <c r="I474" i="1" s="1"/>
  <c r="I419" i="1" s="1"/>
  <c r="F454" i="1"/>
  <c r="F399" i="1" s="1"/>
  <c r="F453" i="1"/>
  <c r="F398" i="1" s="1"/>
  <c r="F331" i="1"/>
  <c r="F274" i="1" s="1"/>
  <c r="I451" i="1"/>
  <c r="I396" i="1" s="1"/>
  <c r="E261" i="1"/>
  <c r="F333" i="1"/>
  <c r="F276" i="1" s="1"/>
  <c r="F332" i="1"/>
  <c r="F275" i="1" s="1"/>
  <c r="F349" i="1"/>
  <c r="F334" i="1"/>
  <c r="F277" i="1" s="1"/>
  <c r="H214" i="1"/>
  <c r="J196" i="1" s="1"/>
  <c r="H124" i="1"/>
  <c r="E124" i="1"/>
  <c r="E188" i="1"/>
  <c r="E266" i="1"/>
  <c r="E329" i="1"/>
  <c r="H442" i="1"/>
  <c r="H449" i="1" s="1"/>
  <c r="H383" i="1"/>
  <c r="I453" i="1"/>
  <c r="I398" i="1" s="1"/>
  <c r="E383" i="1"/>
  <c r="E442" i="1"/>
  <c r="E449" i="1" s="1"/>
  <c r="F452" i="1"/>
  <c r="F397" i="1" s="1"/>
  <c r="F469" i="1"/>
  <c r="E214" i="1"/>
  <c r="G196" i="1" s="1"/>
  <c r="I452" i="1"/>
  <c r="I397" i="1" s="1"/>
  <c r="I353" i="1"/>
  <c r="I296" i="1" s="1"/>
  <c r="I274" i="1"/>
  <c r="I335" i="1"/>
  <c r="I278" i="1" s="1"/>
  <c r="I351" i="1"/>
  <c r="I294" i="1" s="1"/>
  <c r="K125" i="1"/>
  <c r="O452" i="1"/>
  <c r="O397" i="1" s="1"/>
  <c r="O451" i="1"/>
  <c r="O396" i="1" s="1"/>
  <c r="N442" i="1"/>
  <c r="N387" i="1" s="1"/>
  <c r="O453" i="1"/>
  <c r="O398" i="1" s="1"/>
  <c r="L349" i="1"/>
  <c r="L353" i="1" s="1"/>
  <c r="L296" i="1" s="1"/>
  <c r="L332" i="1"/>
  <c r="L275" i="1" s="1"/>
  <c r="K323" i="1"/>
  <c r="K266" i="1" s="1"/>
  <c r="L333" i="1"/>
  <c r="L276" i="1" s="1"/>
  <c r="N323" i="1"/>
  <c r="N266" i="1" s="1"/>
  <c r="O334" i="1"/>
  <c r="O277" i="1" s="1"/>
  <c r="O469" i="1"/>
  <c r="K261" i="1"/>
  <c r="L334" i="1"/>
  <c r="L277" i="1" s="1"/>
  <c r="O454" i="1"/>
  <c r="O399" i="1" s="1"/>
  <c r="L414" i="1"/>
  <c r="K387" i="1"/>
  <c r="L474" i="1"/>
  <c r="L419" i="1" s="1"/>
  <c r="L471" i="1"/>
  <c r="L416" i="1" s="1"/>
  <c r="K214" i="1"/>
  <c r="M196" i="1" s="1"/>
  <c r="N214" i="1"/>
  <c r="P196" i="1" s="1"/>
  <c r="K188" i="1"/>
  <c r="K126" i="1" s="1"/>
  <c r="K124" i="1"/>
  <c r="K394" i="1"/>
  <c r="L396" i="1"/>
  <c r="L455" i="1"/>
  <c r="L400" i="1" s="1"/>
  <c r="O331" i="1"/>
  <c r="O332" i="1"/>
  <c r="O275" i="1" s="1"/>
  <c r="N188" i="1"/>
  <c r="N126" i="1" s="1"/>
  <c r="N124" i="1"/>
  <c r="N261" i="1"/>
  <c r="O276" i="1"/>
  <c r="O349" i="1"/>
  <c r="O353" i="1" s="1"/>
  <c r="O296" i="1" s="1"/>
  <c r="L274" i="1"/>
  <c r="X331" i="1"/>
  <c r="X274" i="1" s="1"/>
  <c r="W323" i="1"/>
  <c r="W329" i="1" s="1"/>
  <c r="W272" i="1" s="1"/>
  <c r="X334" i="1"/>
  <c r="X277" i="1" s="1"/>
  <c r="X332" i="1"/>
  <c r="X275" i="1" s="1"/>
  <c r="X349" i="1"/>
  <c r="X292" i="1" s="1"/>
  <c r="R332" i="1"/>
  <c r="R275" i="1" s="1"/>
  <c r="U451" i="1"/>
  <c r="U396" i="1" s="1"/>
  <c r="U453" i="1"/>
  <c r="U398" i="1" s="1"/>
  <c r="Q323" i="1"/>
  <c r="Q266" i="1" s="1"/>
  <c r="X333" i="1"/>
  <c r="X276" i="1" s="1"/>
  <c r="X451" i="1"/>
  <c r="X396" i="1" s="1"/>
  <c r="U469" i="1"/>
  <c r="U474" i="1" s="1"/>
  <c r="U419" i="1" s="1"/>
  <c r="U452" i="1"/>
  <c r="U397" i="1" s="1"/>
  <c r="T442" i="1"/>
  <c r="T387" i="1" s="1"/>
  <c r="U454" i="1"/>
  <c r="U399" i="1" s="1"/>
  <c r="W124" i="1"/>
  <c r="X469" i="1"/>
  <c r="X473" i="1" s="1"/>
  <c r="X418" i="1" s="1"/>
  <c r="W442" i="1"/>
  <c r="U333" i="1"/>
  <c r="U276" i="1" s="1"/>
  <c r="R349" i="1"/>
  <c r="R355" i="1" s="1"/>
  <c r="R297" i="1" s="1"/>
  <c r="R334" i="1"/>
  <c r="R277" i="1" s="1"/>
  <c r="Q442" i="1"/>
  <c r="Q387" i="1" s="1"/>
  <c r="R331" i="1"/>
  <c r="R274" i="1" s="1"/>
  <c r="R333" i="1"/>
  <c r="R276" i="1" s="1"/>
  <c r="X454" i="1"/>
  <c r="X399" i="1" s="1"/>
  <c r="X453" i="1"/>
  <c r="W383" i="1"/>
  <c r="T214" i="1"/>
  <c r="V196" i="1" s="1"/>
  <c r="R452" i="1"/>
  <c r="R397" i="1" s="1"/>
  <c r="U349" i="1"/>
  <c r="U355" i="1" s="1"/>
  <c r="U297" i="1" s="1"/>
  <c r="T124" i="1"/>
  <c r="T188" i="1"/>
  <c r="T126" i="1" s="1"/>
  <c r="U277" i="1"/>
  <c r="T261" i="1"/>
  <c r="U332" i="1"/>
  <c r="U275" i="1" s="1"/>
  <c r="T323" i="1"/>
  <c r="Q383" i="1"/>
  <c r="R469" i="1"/>
  <c r="R474" i="1" s="1"/>
  <c r="R419" i="1" s="1"/>
  <c r="R451" i="1"/>
  <c r="Q124" i="1"/>
  <c r="Q188" i="1"/>
  <c r="Q126" i="1" s="1"/>
  <c r="Q214" i="1"/>
  <c r="S196" i="1" s="1"/>
  <c r="R453" i="1"/>
  <c r="R398" i="1" s="1"/>
  <c r="U331" i="1"/>
  <c r="R399" i="1"/>
  <c r="W214" i="1"/>
  <c r="Y196" i="1" s="1"/>
  <c r="W125" i="1"/>
  <c r="AD471" i="1"/>
  <c r="AD416" i="1" s="1"/>
  <c r="AA454" i="1"/>
  <c r="AA399" i="1" s="1"/>
  <c r="AA452" i="1"/>
  <c r="AA397" i="1" s="1"/>
  <c r="Z383" i="1"/>
  <c r="Z442" i="1"/>
  <c r="AA451" i="1"/>
  <c r="AA469" i="1"/>
  <c r="AA474" i="1" s="1"/>
  <c r="AA419" i="1" s="1"/>
  <c r="AD473" i="1"/>
  <c r="AD418" i="1" s="1"/>
  <c r="AA453" i="1"/>
  <c r="AA398" i="1" s="1"/>
  <c r="AA334" i="1"/>
  <c r="AA277" i="1" s="1"/>
  <c r="AA333" i="1"/>
  <c r="AA276" i="1" s="1"/>
  <c r="Z261" i="1"/>
  <c r="Z323" i="1"/>
  <c r="AA332" i="1"/>
  <c r="AA275" i="1" s="1"/>
  <c r="AA331" i="1"/>
  <c r="AA349" i="1"/>
  <c r="AA353" i="1" s="1"/>
  <c r="AA296" i="1" s="1"/>
  <c r="AF323" i="1"/>
  <c r="AF266" i="1" s="1"/>
  <c r="AC188" i="1"/>
  <c r="AC126" i="1" s="1"/>
  <c r="Z124" i="1"/>
  <c r="Z188" i="1"/>
  <c r="Z126" i="1" s="1"/>
  <c r="Z214" i="1"/>
  <c r="AB196" i="1" s="1"/>
  <c r="AD349" i="1"/>
  <c r="AD355" i="1" s="1"/>
  <c r="AD297" i="1" s="1"/>
  <c r="AG349" i="1"/>
  <c r="AG292" i="1" s="1"/>
  <c r="AC323" i="1"/>
  <c r="AC329" i="1" s="1"/>
  <c r="AD331" i="1"/>
  <c r="AD274" i="1" s="1"/>
  <c r="AD334" i="1"/>
  <c r="AD277" i="1" s="1"/>
  <c r="AD333" i="1"/>
  <c r="AD276" i="1" s="1"/>
  <c r="AC387" i="1"/>
  <c r="AD332" i="1"/>
  <c r="AD275" i="1" s="1"/>
  <c r="AC394" i="1"/>
  <c r="AD455" i="1"/>
  <c r="AD400" i="1" s="1"/>
  <c r="AC125" i="1"/>
  <c r="AC214" i="1"/>
  <c r="AE196" i="1" s="1"/>
  <c r="AF188" i="1"/>
  <c r="AF126" i="1" s="1"/>
  <c r="AF124" i="1"/>
  <c r="AF387" i="1"/>
  <c r="AG471" i="1"/>
  <c r="AG416" i="1" s="1"/>
  <c r="AG414" i="1"/>
  <c r="H266" i="1" l="1"/>
  <c r="I292" i="1"/>
  <c r="I414" i="1"/>
  <c r="I471" i="1"/>
  <c r="I416" i="1" s="1"/>
  <c r="I473" i="1"/>
  <c r="I418" i="1" s="1"/>
  <c r="G191" i="1"/>
  <c r="G129" i="1" s="1"/>
  <c r="G193" i="1"/>
  <c r="G188" i="1" s="1"/>
  <c r="H151" i="1"/>
  <c r="J193" i="1"/>
  <c r="J131" i="1" s="1"/>
  <c r="J191" i="1"/>
  <c r="J129" i="1" s="1"/>
  <c r="J134" i="1"/>
  <c r="F335" i="1"/>
  <c r="F278" i="1" s="1"/>
  <c r="F351" i="1"/>
  <c r="F294" i="1" s="1"/>
  <c r="F292" i="1"/>
  <c r="F353" i="1"/>
  <c r="F296" i="1" s="1"/>
  <c r="F355" i="1"/>
  <c r="F297" i="1" s="1"/>
  <c r="E151" i="1"/>
  <c r="F414" i="1"/>
  <c r="F471" i="1"/>
  <c r="F416" i="1" s="1"/>
  <c r="E387" i="1"/>
  <c r="F474" i="1"/>
  <c r="F419" i="1" s="1"/>
  <c r="H387" i="1"/>
  <c r="E126" i="1"/>
  <c r="F473" i="1"/>
  <c r="F418" i="1" s="1"/>
  <c r="I455" i="1"/>
  <c r="I400" i="1" s="1"/>
  <c r="F396" i="1"/>
  <c r="F455" i="1"/>
  <c r="F400" i="1" s="1"/>
  <c r="E272" i="1"/>
  <c r="H272" i="1"/>
  <c r="I337" i="1"/>
  <c r="I358" i="1"/>
  <c r="L292" i="1"/>
  <c r="N329" i="1"/>
  <c r="N272" i="1" s="1"/>
  <c r="L355" i="1"/>
  <c r="L297" i="1" s="1"/>
  <c r="N449" i="1"/>
  <c r="N394" i="1" s="1"/>
  <c r="Y193" i="1"/>
  <c r="P193" i="1"/>
  <c r="M191" i="1"/>
  <c r="M129" i="1" s="1"/>
  <c r="L477" i="1"/>
  <c r="L422" i="1" s="1"/>
  <c r="O455" i="1"/>
  <c r="O400" i="1" s="1"/>
  <c r="K329" i="1"/>
  <c r="L351" i="1"/>
  <c r="L294" i="1" s="1"/>
  <c r="L335" i="1"/>
  <c r="L278" i="1" s="1"/>
  <c r="O473" i="1"/>
  <c r="O418" i="1" s="1"/>
  <c r="O474" i="1"/>
  <c r="O419" i="1" s="1"/>
  <c r="O471" i="1"/>
  <c r="O416" i="1" s="1"/>
  <c r="O414" i="1"/>
  <c r="N151" i="1"/>
  <c r="P134" i="1"/>
  <c r="K151" i="1"/>
  <c r="M134" i="1"/>
  <c r="M193" i="1"/>
  <c r="P191" i="1"/>
  <c r="P129" i="1" s="1"/>
  <c r="L457" i="1"/>
  <c r="O292" i="1"/>
  <c r="O351" i="1"/>
  <c r="O294" i="1" s="1"/>
  <c r="O355" i="1"/>
  <c r="O297" i="1" s="1"/>
  <c r="O274" i="1"/>
  <c r="O335" i="1"/>
  <c r="O278" i="1" s="1"/>
  <c r="X355" i="1"/>
  <c r="X297" i="1" s="1"/>
  <c r="X351" i="1"/>
  <c r="X294" i="1" s="1"/>
  <c r="X353" i="1"/>
  <c r="X296" i="1" s="1"/>
  <c r="W266" i="1"/>
  <c r="R353" i="1"/>
  <c r="R296" i="1" s="1"/>
  <c r="X414" i="1"/>
  <c r="X471" i="1"/>
  <c r="X416" i="1" s="1"/>
  <c r="U414" i="1"/>
  <c r="U473" i="1"/>
  <c r="U418" i="1" s="1"/>
  <c r="U471" i="1"/>
  <c r="U416" i="1" s="1"/>
  <c r="X335" i="1"/>
  <c r="X278" i="1" s="1"/>
  <c r="Q329" i="1"/>
  <c r="Q272" i="1" s="1"/>
  <c r="Q449" i="1"/>
  <c r="Q394" i="1" s="1"/>
  <c r="U455" i="1"/>
  <c r="U400" i="1" s="1"/>
  <c r="R351" i="1"/>
  <c r="R294" i="1" s="1"/>
  <c r="R292" i="1"/>
  <c r="R335" i="1"/>
  <c r="R278" i="1" s="1"/>
  <c r="T449" i="1"/>
  <c r="T394" i="1" s="1"/>
  <c r="W387" i="1"/>
  <c r="W449" i="1"/>
  <c r="X474" i="1"/>
  <c r="X419" i="1" s="1"/>
  <c r="U351" i="1"/>
  <c r="U294" i="1" s="1"/>
  <c r="U292" i="1"/>
  <c r="Q151" i="1"/>
  <c r="S134" i="1"/>
  <c r="S193" i="1"/>
  <c r="S191" i="1"/>
  <c r="S129" i="1" s="1"/>
  <c r="T151" i="1"/>
  <c r="V193" i="1"/>
  <c r="V191" i="1"/>
  <c r="V129" i="1" s="1"/>
  <c r="V134" i="1"/>
  <c r="X398" i="1"/>
  <c r="X455" i="1"/>
  <c r="U353" i="1"/>
  <c r="U296" i="1" s="1"/>
  <c r="W151" i="1"/>
  <c r="Y134" i="1"/>
  <c r="Y191" i="1"/>
  <c r="Y129" i="1" s="1"/>
  <c r="R414" i="1"/>
  <c r="R471" i="1"/>
  <c r="R416" i="1" s="1"/>
  <c r="R455" i="1"/>
  <c r="R400" i="1" s="1"/>
  <c r="R396" i="1"/>
  <c r="U335" i="1"/>
  <c r="U278" i="1" s="1"/>
  <c r="U274" i="1"/>
  <c r="R473" i="1"/>
  <c r="R418" i="1" s="1"/>
  <c r="T329" i="1"/>
  <c r="T266" i="1"/>
  <c r="AD351" i="1"/>
  <c r="AD294" i="1" s="1"/>
  <c r="AA396" i="1"/>
  <c r="AA455" i="1"/>
  <c r="AA400" i="1" s="1"/>
  <c r="Z387" i="1"/>
  <c r="Z449" i="1"/>
  <c r="AD477" i="1"/>
  <c r="AD422" i="1" s="1"/>
  <c r="AA471" i="1"/>
  <c r="AA416" i="1" s="1"/>
  <c r="AA414" i="1"/>
  <c r="AA473" i="1"/>
  <c r="AA418" i="1" s="1"/>
  <c r="AD353" i="1"/>
  <c r="AD296" i="1" s="1"/>
  <c r="AD292" i="1"/>
  <c r="AA351" i="1"/>
  <c r="AA294" i="1" s="1"/>
  <c r="AA292" i="1"/>
  <c r="AA355" i="1"/>
  <c r="AA297" i="1" s="1"/>
  <c r="Z329" i="1"/>
  <c r="Z266" i="1"/>
  <c r="AA274" i="1"/>
  <c r="AA335" i="1"/>
  <c r="AA278" i="1" s="1"/>
  <c r="AB191" i="1"/>
  <c r="AB129" i="1" s="1"/>
  <c r="AB193" i="1"/>
  <c r="AB134" i="1"/>
  <c r="Z151" i="1"/>
  <c r="AG351" i="1"/>
  <c r="AG294" i="1" s="1"/>
  <c r="AC266" i="1"/>
  <c r="AE193" i="1"/>
  <c r="AE191" i="1"/>
  <c r="AD335" i="1"/>
  <c r="AD278" i="1" s="1"/>
  <c r="AD457" i="1"/>
  <c r="AC151" i="1"/>
  <c r="AC272" i="1"/>
  <c r="AF324" i="1"/>
  <c r="AF329" i="1" s="1"/>
  <c r="AF272" i="1" s="1"/>
  <c r="AF330" i="1"/>
  <c r="AG330" i="1" s="1"/>
  <c r="G131" i="1" l="1"/>
  <c r="J188" i="1"/>
  <c r="H193" i="1" s="1"/>
  <c r="H131" i="1" s="1"/>
  <c r="G134" i="1"/>
  <c r="F337" i="1"/>
  <c r="F280" i="1" s="1"/>
  <c r="F358" i="1"/>
  <c r="F457" i="1"/>
  <c r="F477" i="1"/>
  <c r="E394" i="1"/>
  <c r="I477" i="1"/>
  <c r="I422" i="1" s="1"/>
  <c r="H394" i="1"/>
  <c r="I457" i="1"/>
  <c r="G126" i="1"/>
  <c r="E193" i="1"/>
  <c r="I300" i="1"/>
  <c r="I360" i="1"/>
  <c r="I302" i="1" s="1"/>
  <c r="H245" i="1"/>
  <c r="P241" i="1" s="1"/>
  <c r="I280" i="1"/>
  <c r="L337" i="1"/>
  <c r="K245" i="1" s="1"/>
  <c r="O241" i="1" s="1"/>
  <c r="L358" i="1"/>
  <c r="O457" i="1"/>
  <c r="L459" i="1" s="1"/>
  <c r="K272" i="1"/>
  <c r="O477" i="1"/>
  <c r="O337" i="1"/>
  <c r="P131" i="1"/>
  <c r="P188" i="1"/>
  <c r="K371" i="1"/>
  <c r="P367" i="1" s="1"/>
  <c r="L402" i="1"/>
  <c r="M131" i="1"/>
  <c r="M188" i="1"/>
  <c r="O358" i="1"/>
  <c r="L479" i="1"/>
  <c r="L424" i="1" s="1"/>
  <c r="X358" i="1"/>
  <c r="X300" i="1" s="1"/>
  <c r="X337" i="1"/>
  <c r="X280" i="1" s="1"/>
  <c r="U457" i="1"/>
  <c r="R358" i="1"/>
  <c r="R300" i="1" s="1"/>
  <c r="U477" i="1"/>
  <c r="R337" i="1"/>
  <c r="X477" i="1"/>
  <c r="X422" i="1" s="1"/>
  <c r="W394" i="1"/>
  <c r="R457" i="1"/>
  <c r="X400" i="1"/>
  <c r="X457" i="1"/>
  <c r="U337" i="1"/>
  <c r="T272" i="1"/>
  <c r="U358" i="1"/>
  <c r="R477" i="1"/>
  <c r="V131" i="1"/>
  <c r="V188" i="1"/>
  <c r="S131" i="1"/>
  <c r="S188" i="1"/>
  <c r="Y188" i="1"/>
  <c r="Y131" i="1"/>
  <c r="AD358" i="1"/>
  <c r="AD300" i="1" s="1"/>
  <c r="Z394" i="1"/>
  <c r="AA457" i="1"/>
  <c r="AA477" i="1"/>
  <c r="AD479" i="1"/>
  <c r="AD424" i="1" s="1"/>
  <c r="Z272" i="1"/>
  <c r="AA337" i="1"/>
  <c r="AA358" i="1"/>
  <c r="AB131" i="1"/>
  <c r="AB188" i="1"/>
  <c r="Z193" i="1" s="1"/>
  <c r="AA205" i="1" s="1"/>
  <c r="AD337" i="1"/>
  <c r="AD402" i="1"/>
  <c r="AC371" i="1"/>
  <c r="AG353" i="1"/>
  <c r="AG355" i="1"/>
  <c r="AG297" i="1" s="1"/>
  <c r="AG331" i="1"/>
  <c r="AG334" i="1"/>
  <c r="AG277" i="1" s="1"/>
  <c r="AG333" i="1"/>
  <c r="AG276" i="1" s="1"/>
  <c r="AG273" i="1"/>
  <c r="AG332" i="1"/>
  <c r="AG275" i="1" s="1"/>
  <c r="E245" i="1" l="1"/>
  <c r="Q241" i="1" s="1"/>
  <c r="F360" i="1"/>
  <c r="F302" i="1" s="1"/>
  <c r="F339" i="1"/>
  <c r="F340" i="1" s="1"/>
  <c r="F283" i="1" s="1"/>
  <c r="I459" i="1"/>
  <c r="I460" i="1" s="1"/>
  <c r="I405" i="1" s="1"/>
  <c r="I205" i="1"/>
  <c r="I142" i="1" s="1"/>
  <c r="I207" i="1"/>
  <c r="I144" i="1" s="1"/>
  <c r="H189" i="1"/>
  <c r="H127" i="1" s="1"/>
  <c r="I204" i="1"/>
  <c r="J126" i="1"/>
  <c r="F207" i="1"/>
  <c r="F144" i="1" s="1"/>
  <c r="F205" i="1"/>
  <c r="F142" i="1" s="1"/>
  <c r="F204" i="1"/>
  <c r="F300" i="1"/>
  <c r="N371" i="1"/>
  <c r="O367" i="1" s="1"/>
  <c r="I479" i="1"/>
  <c r="I424" i="1" s="1"/>
  <c r="H371" i="1"/>
  <c r="Q367" i="1" s="1"/>
  <c r="I402" i="1"/>
  <c r="F479" i="1"/>
  <c r="F424" i="1" s="1"/>
  <c r="F422" i="1"/>
  <c r="J367" i="1"/>
  <c r="E131" i="1"/>
  <c r="E189" i="1"/>
  <c r="F402" i="1"/>
  <c r="F459" i="1"/>
  <c r="E371" i="1"/>
  <c r="R367" i="1" s="1"/>
  <c r="I339" i="1"/>
  <c r="L280" i="1"/>
  <c r="L360" i="1"/>
  <c r="L302" i="1" s="1"/>
  <c r="O402" i="1"/>
  <c r="O479" i="1"/>
  <c r="O424" i="1" s="1"/>
  <c r="L300" i="1"/>
  <c r="O422" i="1"/>
  <c r="R280" i="1"/>
  <c r="W245" i="1"/>
  <c r="K241" i="1" s="1"/>
  <c r="N245" i="1"/>
  <c r="N241" i="1" s="1"/>
  <c r="T371" i="1"/>
  <c r="M367" i="1" s="1"/>
  <c r="O459" i="1"/>
  <c r="O404" i="1" s="1"/>
  <c r="O280" i="1"/>
  <c r="L339" i="1"/>
  <c r="L340" i="1" s="1"/>
  <c r="L283" i="1" s="1"/>
  <c r="O339" i="1"/>
  <c r="O340" i="1" s="1"/>
  <c r="O283" i="1" s="1"/>
  <c r="M126" i="1"/>
  <c r="K193" i="1"/>
  <c r="L207" i="1" s="1"/>
  <c r="L460" i="1"/>
  <c r="L405" i="1" s="1"/>
  <c r="L404" i="1"/>
  <c r="P126" i="1"/>
  <c r="N193" i="1"/>
  <c r="O207" i="1" s="1"/>
  <c r="O360" i="1"/>
  <c r="O302" i="1" s="1"/>
  <c r="O300" i="1"/>
  <c r="R459" i="1"/>
  <c r="R460" i="1" s="1"/>
  <c r="R405" i="1" s="1"/>
  <c r="X339" i="1"/>
  <c r="X340" i="1" s="1"/>
  <c r="X283" i="1" s="1"/>
  <c r="U402" i="1"/>
  <c r="U459" i="1"/>
  <c r="U460" i="1" s="1"/>
  <c r="U405" i="1" s="1"/>
  <c r="U479" i="1"/>
  <c r="U424" i="1" s="1"/>
  <c r="X360" i="1"/>
  <c r="X302" i="1" s="1"/>
  <c r="R360" i="1"/>
  <c r="R302" i="1" s="1"/>
  <c r="U422" i="1"/>
  <c r="Q245" i="1"/>
  <c r="R339" i="1"/>
  <c r="R340" i="1" s="1"/>
  <c r="R283" i="1" s="1"/>
  <c r="R402" i="1"/>
  <c r="Q371" i="1"/>
  <c r="X479" i="1"/>
  <c r="X424" i="1" s="1"/>
  <c r="X402" i="1"/>
  <c r="W371" i="1"/>
  <c r="R479" i="1"/>
  <c r="R424" i="1" s="1"/>
  <c r="R422" i="1"/>
  <c r="V126" i="1"/>
  <c r="T193" i="1"/>
  <c r="S126" i="1"/>
  <c r="Q193" i="1"/>
  <c r="U300" i="1"/>
  <c r="U360" i="1"/>
  <c r="U302" i="1" s="1"/>
  <c r="T245" i="1"/>
  <c r="U280" i="1"/>
  <c r="U339" i="1"/>
  <c r="Y126" i="1"/>
  <c r="W193" i="1"/>
  <c r="X193" i="1" s="1"/>
  <c r="AA459" i="1"/>
  <c r="AA460" i="1" s="1"/>
  <c r="AA405" i="1" s="1"/>
  <c r="X459" i="1"/>
  <c r="AA479" i="1"/>
  <c r="AA424" i="1" s="1"/>
  <c r="AA422" i="1"/>
  <c r="Z371" i="1"/>
  <c r="AA402" i="1"/>
  <c r="Z245" i="1"/>
  <c r="AA280" i="1"/>
  <c r="AA300" i="1"/>
  <c r="AA360" i="1"/>
  <c r="AA302" i="1" s="1"/>
  <c r="AC245" i="1"/>
  <c r="AA339" i="1"/>
  <c r="AD360" i="1"/>
  <c r="AD302" i="1" s="1"/>
  <c r="AA204" i="1"/>
  <c r="AB126" i="1"/>
  <c r="AD280" i="1"/>
  <c r="AG358" i="1"/>
  <c r="AG300" i="1" s="1"/>
  <c r="AG296" i="1"/>
  <c r="AG274" i="1"/>
  <c r="AG335" i="1"/>
  <c r="H197" i="1" l="1"/>
  <c r="H202" i="1" s="1"/>
  <c r="I226" i="1"/>
  <c r="I230" i="1" s="1"/>
  <c r="I167" i="1" s="1"/>
  <c r="I404" i="1"/>
  <c r="F282" i="1"/>
  <c r="I209" i="1"/>
  <c r="I146" i="1" s="1"/>
  <c r="I141" i="1"/>
  <c r="F141" i="1"/>
  <c r="F209" i="1"/>
  <c r="F146" i="1" s="1"/>
  <c r="F460" i="1"/>
  <c r="F405" i="1" s="1"/>
  <c r="F404" i="1"/>
  <c r="I241" i="1"/>
  <c r="E127" i="1"/>
  <c r="E197" i="1"/>
  <c r="E202" i="1" s="1"/>
  <c r="F226" i="1"/>
  <c r="I340" i="1"/>
  <c r="I283" i="1" s="1"/>
  <c r="I282" i="1"/>
  <c r="O460" i="1"/>
  <c r="O405" i="1" s="1"/>
  <c r="K374" i="1"/>
  <c r="L282" i="1"/>
  <c r="O282" i="1"/>
  <c r="J241" i="1"/>
  <c r="L367" i="1"/>
  <c r="N131" i="1"/>
  <c r="O205" i="1"/>
  <c r="O142" i="1" s="1"/>
  <c r="O204" i="1"/>
  <c r="N189" i="1"/>
  <c r="O144" i="1"/>
  <c r="K367" i="1"/>
  <c r="M241" i="1"/>
  <c r="K131" i="1"/>
  <c r="L144" i="1"/>
  <c r="L205" i="1"/>
  <c r="L142" i="1" s="1"/>
  <c r="K189" i="1"/>
  <c r="L226" i="1" s="1"/>
  <c r="L204" i="1"/>
  <c r="L241" i="1"/>
  <c r="N367" i="1"/>
  <c r="U404" i="1"/>
  <c r="R404" i="1"/>
  <c r="X282" i="1"/>
  <c r="R282" i="1"/>
  <c r="R204" i="1"/>
  <c r="R205" i="1"/>
  <c r="R142" i="1" s="1"/>
  <c r="R207" i="1"/>
  <c r="R144" i="1" s="1"/>
  <c r="U205" i="1"/>
  <c r="U142" i="1" s="1"/>
  <c r="U204" i="1"/>
  <c r="U207" i="1"/>
  <c r="U144" i="1" s="1"/>
  <c r="T131" i="1"/>
  <c r="T189" i="1"/>
  <c r="U340" i="1"/>
  <c r="U283" i="1" s="1"/>
  <c r="U282" i="1"/>
  <c r="Q131" i="1"/>
  <c r="Q189" i="1"/>
  <c r="X204" i="1"/>
  <c r="X205" i="1"/>
  <c r="X142" i="1" s="1"/>
  <c r="W131" i="1"/>
  <c r="W189" i="1"/>
  <c r="X207" i="1"/>
  <c r="X144" i="1" s="1"/>
  <c r="AA404" i="1"/>
  <c r="X460" i="1"/>
  <c r="X405" i="1" s="1"/>
  <c r="X404" i="1"/>
  <c r="AA340" i="1"/>
  <c r="AA283" i="1" s="1"/>
  <c r="AA282" i="1"/>
  <c r="AA207" i="1"/>
  <c r="AA144" i="1" s="1"/>
  <c r="AA142" i="1"/>
  <c r="Z189" i="1"/>
  <c r="Z131" i="1"/>
  <c r="AG278" i="1"/>
  <c r="AG337" i="1"/>
  <c r="I228" i="1" l="1"/>
  <c r="I165" i="1" s="1"/>
  <c r="H135" i="1"/>
  <c r="I163" i="1"/>
  <c r="I231" i="1"/>
  <c r="I168" i="1" s="1"/>
  <c r="I345" i="1"/>
  <c r="F345" i="1"/>
  <c r="F346" i="1" s="1"/>
  <c r="F289" i="1" s="1"/>
  <c r="F342" i="1"/>
  <c r="E135" i="1"/>
  <c r="F228" i="1"/>
  <c r="F165" i="1" s="1"/>
  <c r="F163" i="1"/>
  <c r="F230" i="1"/>
  <c r="F167" i="1" s="1"/>
  <c r="F231" i="1"/>
  <c r="F168" i="1" s="1"/>
  <c r="I342" i="1"/>
  <c r="H139" i="1"/>
  <c r="I211" i="1"/>
  <c r="I234" i="1"/>
  <c r="L231" i="1"/>
  <c r="L230" i="1"/>
  <c r="L345" i="1"/>
  <c r="X345" i="1"/>
  <c r="U345" i="1"/>
  <c r="R345" i="1"/>
  <c r="O345" i="1"/>
  <c r="AD345" i="1"/>
  <c r="AA345" i="1"/>
  <c r="K252" i="1"/>
  <c r="L342" i="1"/>
  <c r="O342" i="1"/>
  <c r="L141" i="1"/>
  <c r="L209" i="1"/>
  <c r="L146" i="1" s="1"/>
  <c r="N127" i="1"/>
  <c r="O226" i="1"/>
  <c r="N197" i="1"/>
  <c r="O141" i="1"/>
  <c r="O209" i="1"/>
  <c r="O146" i="1" s="1"/>
  <c r="K127" i="1"/>
  <c r="K197" i="1"/>
  <c r="X342" i="1"/>
  <c r="X285" i="1" s="1"/>
  <c r="R342" i="1"/>
  <c r="U342" i="1"/>
  <c r="T127" i="1"/>
  <c r="U226" i="1"/>
  <c r="T197" i="1"/>
  <c r="Q127" i="1"/>
  <c r="R226" i="1"/>
  <c r="Q197" i="1"/>
  <c r="U141" i="1"/>
  <c r="U209" i="1"/>
  <c r="U146" i="1" s="1"/>
  <c r="R209" i="1"/>
  <c r="R146" i="1" s="1"/>
  <c r="R141" i="1"/>
  <c r="W127" i="1"/>
  <c r="W197" i="1"/>
  <c r="X226" i="1"/>
  <c r="X209" i="1"/>
  <c r="X146" i="1" s="1"/>
  <c r="X141" i="1"/>
  <c r="AD339" i="1"/>
  <c r="AD282" i="1" s="1"/>
  <c r="AD342" i="1"/>
  <c r="AA342" i="1"/>
  <c r="AA141" i="1"/>
  <c r="AA209" i="1"/>
  <c r="AA146" i="1" s="1"/>
  <c r="Z127" i="1"/>
  <c r="AA226" i="1"/>
  <c r="Z197" i="1"/>
  <c r="AG280" i="1"/>
  <c r="AF245" i="1"/>
  <c r="H241" i="1" s="1"/>
  <c r="Q242" i="1" s="1"/>
  <c r="Q243" i="1" s="1"/>
  <c r="AG360" i="1"/>
  <c r="AG302" i="1" s="1"/>
  <c r="AF450" i="1"/>
  <c r="AG450" i="1" s="1"/>
  <c r="AG454" i="1" s="1"/>
  <c r="F343" i="1" l="1"/>
  <c r="F286" i="1" s="1"/>
  <c r="F285" i="1"/>
  <c r="F288" i="1"/>
  <c r="E139" i="1"/>
  <c r="F234" i="1"/>
  <c r="F211" i="1"/>
  <c r="P242" i="1"/>
  <c r="P243" i="1" s="1"/>
  <c r="H112" i="1"/>
  <c r="N108" i="1" s="1"/>
  <c r="I346" i="1"/>
  <c r="I289" i="1" s="1"/>
  <c r="I288" i="1"/>
  <c r="I343" i="1"/>
  <c r="I286" i="1" s="1"/>
  <c r="I285" i="1"/>
  <c r="I148" i="1"/>
  <c r="I171" i="1"/>
  <c r="I236" i="1"/>
  <c r="I173" i="1" s="1"/>
  <c r="O231" i="1"/>
  <c r="O168" i="1" s="1"/>
  <c r="O230" i="1"/>
  <c r="O167" i="1" s="1"/>
  <c r="AA231" i="1"/>
  <c r="AA168" i="1" s="1"/>
  <c r="AA230" i="1"/>
  <c r="AA167" i="1" s="1"/>
  <c r="U230" i="1"/>
  <c r="U167" i="1" s="1"/>
  <c r="U231" i="1"/>
  <c r="U168" i="1" s="1"/>
  <c r="X231" i="1"/>
  <c r="X168" i="1" s="1"/>
  <c r="X230" i="1"/>
  <c r="X167" i="1" s="1"/>
  <c r="R231" i="1"/>
  <c r="R168" i="1" s="1"/>
  <c r="R230" i="1"/>
  <c r="R167" i="1" s="1"/>
  <c r="R346" i="1"/>
  <c r="R289" i="1" s="1"/>
  <c r="R288" i="1"/>
  <c r="AA346" i="1"/>
  <c r="AA289" i="1" s="1"/>
  <c r="AA288" i="1"/>
  <c r="U346" i="1"/>
  <c r="U289" i="1" s="1"/>
  <c r="U288" i="1"/>
  <c r="AD346" i="1"/>
  <c r="AD289" i="1" s="1"/>
  <c r="AD288" i="1"/>
  <c r="X346" i="1"/>
  <c r="X289" i="1" s="1"/>
  <c r="X288" i="1"/>
  <c r="O346" i="1"/>
  <c r="O289" i="1" s="1"/>
  <c r="O288" i="1"/>
  <c r="L346" i="1"/>
  <c r="L289" i="1" s="1"/>
  <c r="L288" i="1"/>
  <c r="O242" i="1"/>
  <c r="O243" i="1" s="1"/>
  <c r="N242" i="1"/>
  <c r="N243" i="1" s="1"/>
  <c r="O343" i="1"/>
  <c r="O286" i="1" s="1"/>
  <c r="O285" i="1"/>
  <c r="L343" i="1"/>
  <c r="L286" i="1" s="1"/>
  <c r="L285" i="1"/>
  <c r="K135" i="1"/>
  <c r="K202" i="1"/>
  <c r="O163" i="1"/>
  <c r="O228" i="1"/>
  <c r="O165" i="1" s="1"/>
  <c r="L228" i="1"/>
  <c r="L165" i="1" s="1"/>
  <c r="L163" i="1"/>
  <c r="L168" i="1"/>
  <c r="L167" i="1"/>
  <c r="N202" i="1"/>
  <c r="N135" i="1"/>
  <c r="X343" i="1"/>
  <c r="X286" i="1" s="1"/>
  <c r="K242" i="1"/>
  <c r="K243" i="1" s="1"/>
  <c r="L242" i="1"/>
  <c r="L243" i="1" s="1"/>
  <c r="J242" i="1"/>
  <c r="J243" i="1" s="1"/>
  <c r="I242" i="1"/>
  <c r="I243" i="1" s="1"/>
  <c r="M242" i="1"/>
  <c r="M243" i="1" s="1"/>
  <c r="R343" i="1"/>
  <c r="R286" i="1" s="1"/>
  <c r="R285" i="1"/>
  <c r="U343" i="1"/>
  <c r="U286" i="1" s="1"/>
  <c r="U285" i="1"/>
  <c r="T135" i="1"/>
  <c r="T202" i="1"/>
  <c r="Q135" i="1"/>
  <c r="Q202" i="1"/>
  <c r="U163" i="1"/>
  <c r="U228" i="1"/>
  <c r="U165" i="1" s="1"/>
  <c r="R163" i="1"/>
  <c r="R228" i="1"/>
  <c r="R165" i="1" s="1"/>
  <c r="W202" i="1"/>
  <c r="W135" i="1"/>
  <c r="X228" i="1"/>
  <c r="X165" i="1" s="1"/>
  <c r="X163" i="1"/>
  <c r="AD340" i="1"/>
  <c r="AD283" i="1" s="1"/>
  <c r="AA343" i="1"/>
  <c r="AA286" i="1" s="1"/>
  <c r="AA285" i="1"/>
  <c r="AD343" i="1"/>
  <c r="AD286" i="1" s="1"/>
  <c r="AD285" i="1"/>
  <c r="AA163" i="1"/>
  <c r="AA228" i="1"/>
  <c r="AA165" i="1" s="1"/>
  <c r="Z135" i="1"/>
  <c r="Z202" i="1"/>
  <c r="AG395" i="1"/>
  <c r="AG474" i="1"/>
  <c r="AG419" i="1" s="1"/>
  <c r="AG473" i="1"/>
  <c r="AG451" i="1"/>
  <c r="AG399" i="1"/>
  <c r="AG453" i="1"/>
  <c r="AG398" i="1" s="1"/>
  <c r="AG452" i="1"/>
  <c r="AG397" i="1" s="1"/>
  <c r="F148" i="1" l="1"/>
  <c r="F216" i="1"/>
  <c r="E112" i="1"/>
  <c r="O108" i="1" s="1"/>
  <c r="F236" i="1"/>
  <c r="F173" i="1" s="1"/>
  <c r="F171" i="1"/>
  <c r="O234" i="1"/>
  <c r="N139" i="1"/>
  <c r="O211" i="1"/>
  <c r="L211" i="1"/>
  <c r="I216" i="1" s="1"/>
  <c r="L234" i="1"/>
  <c r="K139" i="1"/>
  <c r="R211" i="1"/>
  <c r="Q139" i="1"/>
  <c r="R234" i="1"/>
  <c r="T139" i="1"/>
  <c r="U211" i="1"/>
  <c r="U234" i="1"/>
  <c r="W139" i="1"/>
  <c r="X234" i="1"/>
  <c r="X211" i="1"/>
  <c r="AA234" i="1"/>
  <c r="AA211" i="1"/>
  <c r="Z139" i="1"/>
  <c r="AG418" i="1"/>
  <c r="AG396" i="1"/>
  <c r="AG455" i="1"/>
  <c r="F153" i="1" l="1"/>
  <c r="F217" i="1"/>
  <c r="F154" i="1" s="1"/>
  <c r="I153" i="1"/>
  <c r="I217" i="1"/>
  <c r="I154" i="1" s="1"/>
  <c r="N112" i="1"/>
  <c r="L108" i="1" s="1"/>
  <c r="K112" i="1"/>
  <c r="M108" i="1" s="1"/>
  <c r="L148" i="1"/>
  <c r="L216" i="1"/>
  <c r="O216" i="1"/>
  <c r="O148" i="1"/>
  <c r="L236" i="1"/>
  <c r="L173" i="1" s="1"/>
  <c r="L171" i="1"/>
  <c r="O236" i="1"/>
  <c r="O173" i="1" s="1"/>
  <c r="O171" i="1"/>
  <c r="R216" i="1"/>
  <c r="R217" i="1" s="1"/>
  <c r="U216" i="1"/>
  <c r="U217" i="1" s="1"/>
  <c r="U154" i="1" s="1"/>
  <c r="R236" i="1"/>
  <c r="R173" i="1" s="1"/>
  <c r="R171" i="1"/>
  <c r="U236" i="1"/>
  <c r="U173" i="1" s="1"/>
  <c r="U171" i="1"/>
  <c r="U148" i="1"/>
  <c r="T112" i="1"/>
  <c r="J108" i="1" s="1"/>
  <c r="R148" i="1"/>
  <c r="Q112" i="1"/>
  <c r="K108" i="1" s="1"/>
  <c r="X148" i="1"/>
  <c r="W112" i="1"/>
  <c r="I108" i="1" s="1"/>
  <c r="X171" i="1"/>
  <c r="X236" i="1"/>
  <c r="X173" i="1" s="1"/>
  <c r="X216" i="1"/>
  <c r="X153" i="1" s="1"/>
  <c r="AA148" i="1"/>
  <c r="Z112" i="1"/>
  <c r="H108" i="1" s="1"/>
  <c r="AA171" i="1"/>
  <c r="AA236" i="1"/>
  <c r="AA173" i="1" s="1"/>
  <c r="AG400" i="1"/>
  <c r="O153" i="1" l="1"/>
  <c r="O217" i="1"/>
  <c r="O154" i="1" s="1"/>
  <c r="L153" i="1"/>
  <c r="L217" i="1"/>
  <c r="L154" i="1" s="1"/>
  <c r="U153" i="1"/>
  <c r="R153" i="1"/>
  <c r="R154" i="1"/>
  <c r="X217" i="1"/>
  <c r="X154" i="1" s="1"/>
  <c r="AF443" i="1"/>
  <c r="AF449" i="1" s="1"/>
  <c r="AG477" i="1" s="1"/>
  <c r="AF206" i="1"/>
  <c r="AG206" i="1" s="1"/>
  <c r="AG143" i="1" s="1"/>
  <c r="AF196" i="1"/>
  <c r="AF203" i="1"/>
  <c r="AG203" i="1" s="1"/>
  <c r="K114" i="1" l="1"/>
  <c r="AF394" i="1"/>
  <c r="AG422" i="1"/>
  <c r="AG457" i="1"/>
  <c r="AF214" i="1"/>
  <c r="AH196" i="1" s="1"/>
  <c r="AG140" i="1"/>
  <c r="F462" i="1" l="1"/>
  <c r="I465" i="1"/>
  <c r="F465" i="1"/>
  <c r="F466" i="1" s="1"/>
  <c r="F411" i="1" s="1"/>
  <c r="H215" i="1"/>
  <c r="H152" i="1" s="1"/>
  <c r="E215" i="1"/>
  <c r="E152" i="1" s="1"/>
  <c r="I462" i="1"/>
  <c r="AD465" i="1"/>
  <c r="L465" i="1"/>
  <c r="O465" i="1"/>
  <c r="R465" i="1"/>
  <c r="U465" i="1"/>
  <c r="AA465" i="1"/>
  <c r="X465" i="1"/>
  <c r="L462" i="1"/>
  <c r="O462" i="1"/>
  <c r="K215" i="1"/>
  <c r="K152" i="1" s="1"/>
  <c r="N215" i="1"/>
  <c r="N152" i="1" s="1"/>
  <c r="U462" i="1"/>
  <c r="R462" i="1"/>
  <c r="W215" i="1"/>
  <c r="W152" i="1" s="1"/>
  <c r="Q215" i="1"/>
  <c r="Q152" i="1" s="1"/>
  <c r="T215" i="1"/>
  <c r="T152" i="1" s="1"/>
  <c r="AD459" i="1"/>
  <c r="AD460" i="1" s="1"/>
  <c r="AD405" i="1" s="1"/>
  <c r="X462" i="1"/>
  <c r="AF371" i="1"/>
  <c r="I367" i="1" s="1"/>
  <c r="R368" i="1" s="1"/>
  <c r="R369" i="1" s="1"/>
  <c r="AD462" i="1"/>
  <c r="AA462" i="1"/>
  <c r="Z215" i="1"/>
  <c r="Z152" i="1" s="1"/>
  <c r="AH134" i="1"/>
  <c r="AH193" i="1"/>
  <c r="AH191" i="1"/>
  <c r="AH129" i="1" s="1"/>
  <c r="AF151" i="1"/>
  <c r="AC215" i="1"/>
  <c r="AC152" i="1" s="1"/>
  <c r="AE134" i="1"/>
  <c r="AE129" i="1"/>
  <c r="AG479" i="1"/>
  <c r="AG424" i="1" s="1"/>
  <c r="AG402" i="1"/>
  <c r="AF215" i="1"/>
  <c r="AF152" i="1" s="1"/>
  <c r="AF199" i="1"/>
  <c r="F410" i="1" l="1"/>
  <c r="F463" i="1"/>
  <c r="F408" i="1" s="1"/>
  <c r="F407" i="1"/>
  <c r="Q368" i="1"/>
  <c r="Q369" i="1" s="1"/>
  <c r="I463" i="1"/>
  <c r="I408" i="1" s="1"/>
  <c r="I407" i="1"/>
  <c r="I410" i="1"/>
  <c r="I466" i="1"/>
  <c r="I411" i="1" s="1"/>
  <c r="P368" i="1"/>
  <c r="P369" i="1" s="1"/>
  <c r="O368" i="1"/>
  <c r="O369" i="1" s="1"/>
  <c r="O466" i="1"/>
  <c r="O411" i="1" s="1"/>
  <c r="O410" i="1"/>
  <c r="X466" i="1"/>
  <c r="X411" i="1" s="1"/>
  <c r="X410" i="1"/>
  <c r="AA466" i="1"/>
  <c r="AA411" i="1" s="1"/>
  <c r="AA410" i="1"/>
  <c r="L466" i="1"/>
  <c r="L411" i="1" s="1"/>
  <c r="L410" i="1"/>
  <c r="R466" i="1"/>
  <c r="R411" i="1" s="1"/>
  <c r="R410" i="1"/>
  <c r="U466" i="1"/>
  <c r="U411" i="1" s="1"/>
  <c r="U410" i="1"/>
  <c r="AD466" i="1"/>
  <c r="AD411" i="1" s="1"/>
  <c r="AD410" i="1"/>
  <c r="O463" i="1"/>
  <c r="O408" i="1" s="1"/>
  <c r="O407" i="1"/>
  <c r="L463" i="1"/>
  <c r="L408" i="1" s="1"/>
  <c r="L407" i="1"/>
  <c r="L368" i="1"/>
  <c r="L369" i="1" s="1"/>
  <c r="M368" i="1"/>
  <c r="M369" i="1" s="1"/>
  <c r="J368" i="1"/>
  <c r="J369" i="1" s="1"/>
  <c r="N368" i="1"/>
  <c r="N369" i="1" s="1"/>
  <c r="K368" i="1"/>
  <c r="K369" i="1" s="1"/>
  <c r="R463" i="1"/>
  <c r="R408" i="1" s="1"/>
  <c r="R407" i="1"/>
  <c r="U463" i="1"/>
  <c r="U408" i="1" s="1"/>
  <c r="U407" i="1"/>
  <c r="AD404" i="1"/>
  <c r="X463" i="1"/>
  <c r="X408" i="1" s="1"/>
  <c r="X407" i="1"/>
  <c r="AD407" i="1"/>
  <c r="AD463" i="1"/>
  <c r="AD408" i="1" s="1"/>
  <c r="AA407" i="1"/>
  <c r="AA463" i="1"/>
  <c r="AA408" i="1" s="1"/>
  <c r="AE131" i="1"/>
  <c r="AE188" i="1"/>
  <c r="AC193" i="1" s="1"/>
  <c r="AH188" i="1"/>
  <c r="AF193" i="1" s="1"/>
  <c r="AH131" i="1"/>
  <c r="AF208" i="1"/>
  <c r="AG208" i="1" s="1"/>
  <c r="AG145" i="1" s="1"/>
  <c r="AE126" i="1" l="1"/>
  <c r="AH126" i="1"/>
  <c r="AG207" i="1" l="1"/>
  <c r="AG144" i="1" s="1"/>
  <c r="AG204" i="1"/>
  <c r="AD204" i="1"/>
  <c r="AD205" i="1"/>
  <c r="AD142" i="1" s="1"/>
  <c r="AD207" i="1"/>
  <c r="AD144" i="1" s="1"/>
  <c r="AC131" i="1"/>
  <c r="AC189" i="1"/>
  <c r="AF189" i="1"/>
  <c r="AG205" i="1"/>
  <c r="AG142" i="1" s="1"/>
  <c r="AF131" i="1"/>
  <c r="AC127" i="1" l="1"/>
  <c r="AC197" i="1"/>
  <c r="AD226" i="1"/>
  <c r="AD209" i="1"/>
  <c r="AD146" i="1" s="1"/>
  <c r="AD141" i="1"/>
  <c r="AF127" i="1"/>
  <c r="AG226" i="1"/>
  <c r="AF197" i="1"/>
  <c r="AG141" i="1"/>
  <c r="AG209" i="1"/>
  <c r="AG146" i="1" s="1"/>
  <c r="AC202" i="1" l="1"/>
  <c r="AC135" i="1"/>
  <c r="AG163" i="1"/>
  <c r="AG231" i="1"/>
  <c r="AG168" i="1" s="1"/>
  <c r="AG230" i="1"/>
  <c r="AG167" i="1" s="1"/>
  <c r="AD228" i="1"/>
  <c r="AD165" i="1" s="1"/>
  <c r="AD163" i="1"/>
  <c r="AD230" i="1"/>
  <c r="AD167" i="1" s="1"/>
  <c r="AD231" i="1"/>
  <c r="AD168" i="1" s="1"/>
  <c r="AF135" i="1"/>
  <c r="AF202" i="1"/>
  <c r="AG228" i="1"/>
  <c r="AG165" i="1" s="1"/>
  <c r="AG234" i="1" l="1"/>
  <c r="AG171" i="1" s="1"/>
  <c r="AD234" i="1"/>
  <c r="AD211" i="1"/>
  <c r="AC139" i="1"/>
  <c r="AF139" i="1"/>
  <c r="AG211" i="1"/>
  <c r="I222" i="1" s="1"/>
  <c r="F222" i="1" l="1"/>
  <c r="F223" i="1" s="1"/>
  <c r="F219" i="1"/>
  <c r="F220" i="1" s="1"/>
  <c r="I219" i="1"/>
  <c r="I220" i="1" s="1"/>
  <c r="I223" i="1"/>
  <c r="AD222" i="1"/>
  <c r="AD223" i="1" s="1"/>
  <c r="AD160" i="1" s="1"/>
  <c r="X222" i="1"/>
  <c r="R222" i="1"/>
  <c r="O222" i="1"/>
  <c r="AA222" i="1"/>
  <c r="U222" i="1"/>
  <c r="L222" i="1"/>
  <c r="L219" i="1"/>
  <c r="O219" i="1"/>
  <c r="X219" i="1"/>
  <c r="X156" i="1" s="1"/>
  <c r="U219" i="1"/>
  <c r="U220" i="1" s="1"/>
  <c r="U157" i="1" s="1"/>
  <c r="R219" i="1"/>
  <c r="AA216" i="1"/>
  <c r="AA217" i="1" s="1"/>
  <c r="AA154" i="1" s="1"/>
  <c r="AD219" i="1"/>
  <c r="AG148" i="1"/>
  <c r="AA219" i="1"/>
  <c r="AD216" i="1"/>
  <c r="AC112" i="1"/>
  <c r="G108" i="1" s="1"/>
  <c r="AD148" i="1"/>
  <c r="AD171" i="1"/>
  <c r="AD236" i="1"/>
  <c r="AD173" i="1" s="1"/>
  <c r="AG236" i="1"/>
  <c r="AG173" i="1" s="1"/>
  <c r="AF112" i="1"/>
  <c r="F108" i="1" s="1"/>
  <c r="N109" i="1" l="1"/>
  <c r="N110" i="1" s="1"/>
  <c r="O109" i="1"/>
  <c r="O110" i="1" s="1"/>
  <c r="F159" i="1"/>
  <c r="F160" i="1"/>
  <c r="F157" i="1"/>
  <c r="F156" i="1"/>
  <c r="I156" i="1"/>
  <c r="I157" i="1"/>
  <c r="I160" i="1"/>
  <c r="I159" i="1"/>
  <c r="AD159" i="1"/>
  <c r="L223" i="1"/>
  <c r="L160" i="1" s="1"/>
  <c r="L159" i="1"/>
  <c r="U223" i="1"/>
  <c r="U160" i="1" s="1"/>
  <c r="U159" i="1"/>
  <c r="X223" i="1"/>
  <c r="X160" i="1" s="1"/>
  <c r="X159" i="1"/>
  <c r="R223" i="1"/>
  <c r="R160" i="1" s="1"/>
  <c r="R159" i="1"/>
  <c r="AA223" i="1"/>
  <c r="AA160" i="1" s="1"/>
  <c r="AA159" i="1"/>
  <c r="O223" i="1"/>
  <c r="O160" i="1" s="1"/>
  <c r="O159" i="1"/>
  <c r="K109" i="1"/>
  <c r="K110" i="1" s="1"/>
  <c r="L109" i="1"/>
  <c r="L110" i="1" s="1"/>
  <c r="M109" i="1"/>
  <c r="M110" i="1" s="1"/>
  <c r="O220" i="1"/>
  <c r="O157" i="1" s="1"/>
  <c r="O156" i="1"/>
  <c r="L220" i="1"/>
  <c r="L157" i="1" s="1"/>
  <c r="L156" i="1"/>
  <c r="X220" i="1"/>
  <c r="X157" i="1" s="1"/>
  <c r="R220" i="1"/>
  <c r="R157" i="1" s="1"/>
  <c r="R156" i="1"/>
  <c r="U156" i="1"/>
  <c r="H109" i="1"/>
  <c r="H110" i="1" s="1"/>
  <c r="I109" i="1"/>
  <c r="I110" i="1" s="1"/>
  <c r="J109" i="1"/>
  <c r="J110" i="1" s="1"/>
  <c r="G109" i="1"/>
  <c r="G110" i="1" s="1"/>
  <c r="AA153" i="1"/>
  <c r="AD220" i="1"/>
  <c r="AD157" i="1" s="1"/>
  <c r="AD156" i="1"/>
  <c r="AA220" i="1"/>
  <c r="AA157" i="1" s="1"/>
  <c r="AA156" i="1"/>
  <c r="AD217" i="1"/>
  <c r="AD154" i="1" s="1"/>
  <c r="AD153" i="1"/>
  <c r="N207" i="1" l="1"/>
</calcChain>
</file>

<file path=xl/sharedStrings.xml><?xml version="1.0" encoding="utf-8"?>
<sst xmlns="http://schemas.openxmlformats.org/spreadsheetml/2006/main" count="1330" uniqueCount="540">
  <si>
    <t>Simulador Salario docente Entre Ríos</t>
  </si>
  <si>
    <t>Listado de Cargos</t>
  </si>
  <si>
    <t>Por favor avisar si encuentran errores</t>
  </si>
  <si>
    <t>Solo completar los datos en rojo</t>
  </si>
  <si>
    <t>Escala de antigüedades</t>
  </si>
  <si>
    <t>Años</t>
  </si>
  <si>
    <t>Porcentaje</t>
  </si>
  <si>
    <t>Final</t>
  </si>
  <si>
    <t>hasta 971</t>
  </si>
  <si>
    <t>972&lt;pi&lt;= 1169</t>
  </si>
  <si>
    <t>1170&lt;pi&lt;1400</t>
  </si>
  <si>
    <t>1401&lt;pi&lt;1942</t>
  </si>
  <si>
    <t>1943&lt;pi&lt;=2220</t>
  </si>
  <si>
    <t>pi&gt;2220</t>
  </si>
  <si>
    <t>pijc&gt;=620 971</t>
  </si>
  <si>
    <t>JC &gt; 971</t>
  </si>
  <si>
    <t>JC defint</t>
  </si>
  <si>
    <t>Porc aumento índice</t>
  </si>
  <si>
    <t>18,00%</t>
  </si>
  <si>
    <t>Nuevo Índice</t>
  </si>
  <si>
    <t>#¿NOMBRE?</t>
  </si>
  <si>
    <t>Auminddic</t>
  </si>
  <si>
    <t>Para conocer el código del cargo hacer clic en la hoja cargos</t>
  </si>
  <si>
    <t>Porc aumento prol Jornada</t>
  </si>
  <si>
    <t>20,00%</t>
  </si>
  <si>
    <t>Nuevo Prol Jorn</t>
  </si>
  <si>
    <t>aumjorcompdic</t>
  </si>
  <si>
    <t>% de aum código 06</t>
  </si>
  <si>
    <t>16,00%</t>
  </si>
  <si>
    <t>Multiplicador</t>
  </si>
  <si>
    <t>116,0%</t>
  </si>
  <si>
    <t>aum cod 06 dic</t>
  </si>
  <si>
    <t>#########</t>
  </si>
  <si>
    <t>#¡REF!</t>
  </si>
  <si>
    <t>Modificadores diálogo 2013</t>
  </si>
  <si>
    <t>Nuevo sueldo testigo (maestro, 0% antig)</t>
  </si>
  <si>
    <t>Aumento cargo testigo</t>
  </si>
  <si>
    <t>CARGOS</t>
  </si>
  <si>
    <t>Aumento1</t>
  </si>
  <si>
    <t>indicedic21</t>
  </si>
  <si>
    <t>Aumento2</t>
  </si>
  <si>
    <t>indiceproljordic21</t>
  </si>
  <si>
    <t>Aumento3</t>
  </si>
  <si>
    <t>Aumento4</t>
  </si>
  <si>
    <t>Aumento5</t>
  </si>
  <si>
    <t>11996,77</t>
  </si>
  <si>
    <t>Aclaración importante:</t>
  </si>
  <si>
    <t>completar el cargo a la izquierda y buscar el resultado a la derecha</t>
  </si>
  <si>
    <t>CARGO</t>
  </si>
  <si>
    <t>PUNTOS basicos</t>
  </si>
  <si>
    <t>tarea DIFER.</t>
  </si>
  <si>
    <t>Prol JORN</t>
  </si>
  <si>
    <t>jorn Compl</t>
  </si>
  <si>
    <t>Combas2016</t>
  </si>
  <si>
    <t>Comp Dir 2016</t>
  </si>
  <si>
    <t>Adic Esc Nina</t>
  </si>
  <si>
    <t>NOMBRE del cargo</t>
  </si>
  <si>
    <t>Buscar en la hoja cargos si no saben el número del cargo y luego controlar por el nombre</t>
  </si>
  <si>
    <t>¿Sos directivo de escuela Nina?</t>
  </si>
  <si>
    <t>Si: 1; No: 0</t>
  </si>
  <si>
    <t>Años de antigüedad</t>
  </si>
  <si>
    <t>Sueldo Liquido</t>
  </si>
  <si>
    <t>Transporte: cant km semanales</t>
  </si>
  <si>
    <t>Puntos básicos</t>
  </si>
  <si>
    <t>Puntos de jornada completa</t>
  </si>
  <si>
    <t>CODIGO</t>
  </si>
  <si>
    <t>PORCENT</t>
  </si>
  <si>
    <t>CONCEPTO</t>
  </si>
  <si>
    <t>HABERES</t>
  </si>
  <si>
    <t>DESCUENTOS</t>
  </si>
  <si>
    <t>Asignación de la categoría</t>
  </si>
  <si>
    <t>Complemento de Básico</t>
  </si>
  <si>
    <t>03 o 08</t>
  </si>
  <si>
    <t>Complemento directivo</t>
  </si>
  <si>
    <t>Adicional Nina</t>
  </si>
  <si>
    <t>Adic. Art. 2 y 3 Dcrto. 5863/05</t>
  </si>
  <si>
    <t>Antigüedad</t>
  </si>
  <si>
    <t>Product. Dcrto. 5863/05</t>
  </si>
  <si>
    <t>Plus productividad docente</t>
  </si>
  <si>
    <t>Prolongación de Jornada</t>
  </si>
  <si>
    <t>Función diferencial docente</t>
  </si>
  <si>
    <t>Bonific Ubic Escuela (ZONA)</t>
  </si>
  <si>
    <t>Adicional para mínimo</t>
  </si>
  <si>
    <t>Cod 117</t>
  </si>
  <si>
    <t>Monto Remunerativo</t>
  </si>
  <si>
    <t>Compensación por traslado</t>
  </si>
  <si>
    <t>Varios</t>
  </si>
  <si>
    <t>Total Asignaciones Familiares</t>
  </si>
  <si>
    <t>Total nominal provincia</t>
  </si>
  <si>
    <t>Anticipo FONID</t>
  </si>
  <si>
    <t>FONID 2006</t>
  </si>
  <si>
    <t>Conectividad Nacional</t>
  </si>
  <si>
    <t>Total haberes</t>
  </si>
  <si>
    <t>Reajuste cod 188</t>
  </si>
  <si>
    <t>Ap jubilat</t>
  </si>
  <si>
    <t>Ob social</t>
  </si>
  <si>
    <t>Seg vida</t>
  </si>
  <si>
    <t>Aporte sindical AGMER</t>
  </si>
  <si>
    <t>Otro desc</t>
  </si>
  <si>
    <t>Descuentos</t>
  </si>
  <si>
    <t>Sueldo líquido</t>
  </si>
  <si>
    <t>Total remunerativos</t>
  </si>
  <si>
    <t>sin 188 y 14</t>
  </si>
  <si>
    <t>con 188 y 14</t>
  </si>
  <si>
    <t>Aumento del mes</t>
  </si>
  <si>
    <t>Porc resp a anterior</t>
  </si>
  <si>
    <t>Medio Aguinaldo</t>
  </si>
  <si>
    <t>código 100</t>
  </si>
  <si>
    <t>código 186 (No remun)</t>
  </si>
  <si>
    <t>Líquido</t>
  </si>
  <si>
    <t>Descuentos con aguinaldo</t>
  </si>
  <si>
    <t>Sueldo líquido incluyendo aguinaldo</t>
  </si>
  <si>
    <t>Aguinaldo de bolsillo</t>
  </si>
  <si>
    <t>HORAS DE NIVEL MEDIO</t>
  </si>
  <si>
    <t>Número de horas</t>
  </si>
  <si>
    <t>Años de Antigüedad</t>
  </si>
  <si>
    <t>Por los topes de algunos códigos</t>
  </si>
  <si>
    <t>Nº horas que cobran código 06</t>
  </si>
  <si>
    <t>Nº horas que cobran incentivo</t>
  </si>
  <si>
    <t>Adicional horas media (1: Si; 0: No)</t>
  </si>
  <si>
    <t>1: Si; 0: No</t>
  </si>
  <si>
    <t>Trans: cant km semanales</t>
  </si>
  <si>
    <t>Horas cátedra</t>
  </si>
  <si>
    <t>Productiv Dcrto. 5863/05</t>
  </si>
  <si>
    <t>Adicional horas media</t>
  </si>
  <si>
    <t>NUEVO ADIC. HS. CAT.</t>
  </si>
  <si>
    <t>Sueldo Nominal Provincia</t>
  </si>
  <si>
    <t>Otros</t>
  </si>
  <si>
    <t>Haberes</t>
  </si>
  <si>
    <t>Ap jubilatorio</t>
  </si>
  <si>
    <t>Obra social</t>
  </si>
  <si>
    <t>HORAS DE NIVEL Superior</t>
  </si>
  <si>
    <t>Sueldo nominal provincia</t>
  </si>
  <si>
    <t>Autor</t>
  </si>
  <si>
    <t>Víctor Hugo Hutt</t>
  </si>
  <si>
    <t>AGMER Seccional Uruguay</t>
  </si>
  <si>
    <t>www.agmeruruguay.com.ar</t>
  </si>
  <si>
    <t>Facebook: agmeruruguay</t>
  </si>
  <si>
    <t>Volver al simulador</t>
  </si>
  <si>
    <t>Tarea</t>
  </si>
  <si>
    <t>Prol</t>
  </si>
  <si>
    <t>Jornada</t>
  </si>
  <si>
    <t>Adic</t>
  </si>
  <si>
    <t>NOMBRE</t>
  </si>
  <si>
    <t>PUNTOS</t>
  </si>
  <si>
    <t>puntos comp bas 2016</t>
  </si>
  <si>
    <t>adic dir 2016</t>
  </si>
  <si>
    <t>TOT 1 Y 2</t>
  </si>
  <si>
    <t>DIFER.</t>
  </si>
  <si>
    <t>JORN</t>
  </si>
  <si>
    <t>Compl</t>
  </si>
  <si>
    <t>Nina</t>
  </si>
  <si>
    <t>RECTOR INSTITUTO SUPERIOR</t>
  </si>
  <si>
    <t>SECRETARIO INSTITUTO SUPERIOR</t>
  </si>
  <si>
    <t>JEFE DE PRECEPTORES DE 2DA Y 3RA CATEGORIA</t>
  </si>
  <si>
    <t>RESP. AREA ASISTEMATICA Y SISTEMATICA</t>
  </si>
  <si>
    <t>REGENTE 1ERA. CAT. C.E.F.</t>
  </si>
  <si>
    <t>388,2</t>
  </si>
  <si>
    <t>SUPERVISOR D.E.M.Y.A.</t>
  </si>
  <si>
    <t>SECRETARIO DOCENTE D.E.M.Y.A.</t>
  </si>
  <si>
    <t>TECNICO PEDAGOGICO</t>
  </si>
  <si>
    <t>DIRECTOR 1ERA CATEGORIA</t>
  </si>
  <si>
    <t>135,87</t>
  </si>
  <si>
    <t>DIRECTOR 2DA CATEGORIA</t>
  </si>
  <si>
    <t>582,3</t>
  </si>
  <si>
    <t>REGENTE ESC. TECNICA 1ERA CATEGORIA</t>
  </si>
  <si>
    <t>452,9</t>
  </si>
  <si>
    <t>DIRECTOR 3ERA CATEGORIA</t>
  </si>
  <si>
    <t>VICEDIRECTOR 1ERA CATEGORIA</t>
  </si>
  <si>
    <t>517,6</t>
  </si>
  <si>
    <t>superv</t>
  </si>
  <si>
    <t>776,4</t>
  </si>
  <si>
    <t>232,92</t>
  </si>
  <si>
    <t>VICEDIRECTOR 2DA CATEGORIA</t>
  </si>
  <si>
    <t>direct 1</t>
  </si>
  <si>
    <t>194,1</t>
  </si>
  <si>
    <t>JEFE AGROPECUARIO 1ERA CATEGORIA</t>
  </si>
  <si>
    <t>direct 2</t>
  </si>
  <si>
    <t>174,69</t>
  </si>
  <si>
    <t>JEFE AGROPECUARIO 2DA CATEGORIA</t>
  </si>
  <si>
    <t>direct 3</t>
  </si>
  <si>
    <t>JEFE AGROPECUARIO 3ERA CATEGORIA</t>
  </si>
  <si>
    <t>direct 4</t>
  </si>
  <si>
    <t>JEFE SECCION ESC. AGROPECUARIA</t>
  </si>
  <si>
    <t>vicedir 1</t>
  </si>
  <si>
    <t>155,28</t>
  </si>
  <si>
    <t>REGENTE ESC. TECNICA 2DA CATEGORIA</t>
  </si>
  <si>
    <t>vicedir 2</t>
  </si>
  <si>
    <t>116,46</t>
  </si>
  <si>
    <t>MAESTRO ENS PRACT - JEFE SECCION</t>
  </si>
  <si>
    <t>sec 1</t>
  </si>
  <si>
    <t>MAESTRO ENS PRACT - 1RA 2DA 3RA</t>
  </si>
  <si>
    <t>sec 2</t>
  </si>
  <si>
    <t>JEFE INTERNADO 1ERA CATEGORIA</t>
  </si>
  <si>
    <t>sec 3</t>
  </si>
  <si>
    <t>JEFE INTERNADO 3ERA CATEGORIA</t>
  </si>
  <si>
    <t>SECRETARIO 1ERA CATEGORIA</t>
  </si>
  <si>
    <t>SECRETARIO 2DA CATEGORIA</t>
  </si>
  <si>
    <t>SECRETARIO 3ERA CATEGORIA</t>
  </si>
  <si>
    <t>MAESTRO TECNOLOGICO Y ESPECIALIDADES</t>
  </si>
  <si>
    <t>MAESTRO AYUD ENS PRACT 1RA 2DA 3RA</t>
  </si>
  <si>
    <t>PRECEPTOR AYUDANTE INTERNADO 1ERA CATEGORIA</t>
  </si>
  <si>
    <t>PRECEPTOR AYUDANTE INTERNADO 3ERA CATEGORIA</t>
  </si>
  <si>
    <t>PRECEPTOR</t>
  </si>
  <si>
    <t>BIBLIOTECARIO</t>
  </si>
  <si>
    <t>MAESTRO DE GRADO</t>
  </si>
  <si>
    <t>VICEDIRECTOR 1ERA. CAT. C.E.F.</t>
  </si>
  <si>
    <t>JEFE DE LABORATORIO</t>
  </si>
  <si>
    <t>JEFE DE ENS PRACTICA</t>
  </si>
  <si>
    <t>AYTE TEC DE TRAB PRACT/LABORATORIO</t>
  </si>
  <si>
    <t>SUBJEFE DE PRECEPT 1RA CAT</t>
  </si>
  <si>
    <t>RECTOR 3era Cat. Escuela Secundaria Jóvenes y Adultos</t>
  </si>
  <si>
    <t>Secretario 3era Cat. Escuela Secundaria Jóvenes y Adultos</t>
  </si>
  <si>
    <t>Supervisor Zonal Educación Secundaria Jóvenes y Adultos</t>
  </si>
  <si>
    <t>VICEDIRECTOR 3ERA CATEGORIA</t>
  </si>
  <si>
    <t>VICERECTOR PROYECTO 13</t>
  </si>
  <si>
    <t>ASESOR PEDAG PROYECTO 13</t>
  </si>
  <si>
    <t>AYUDANTE CLASES PRACTICAS (14 Hs)</t>
  </si>
  <si>
    <t>INSTRUCTOR COMPLEJO AGRARIO</t>
  </si>
  <si>
    <t>DIRECTOR DE 1° C.E.F.</t>
  </si>
  <si>
    <t>MAESTRO DE CICLO E.G.B.</t>
  </si>
  <si>
    <t>COORDINADOR DE ACCIONES NO FORMALES</t>
  </si>
  <si>
    <t>AUXILIAR DE ACCIONES NO FORMALES</t>
  </si>
  <si>
    <t>INSTRUCTOR ESC. AGROPECUARIAS</t>
  </si>
  <si>
    <t>JEFE TALLER ESC. TECNICA 3ERA CATEGORIA</t>
  </si>
  <si>
    <t>JEFE TALLER ESC. TECNICA 1ERA CATEGORIA</t>
  </si>
  <si>
    <t>JEFE TALLER ESC. TECNICA 2DA CATEGORIA</t>
  </si>
  <si>
    <t>PROSECRETARIO 1ERA CAT.</t>
  </si>
  <si>
    <t>PROSECRETARIO 2DA Y 3ERA CAT.</t>
  </si>
  <si>
    <t>JEFE DE PRECEPTORES 1ERA CAT.</t>
  </si>
  <si>
    <t>JEFE DE PRECEPTORES 2DA Y 3ERA CAT.</t>
  </si>
  <si>
    <t>SUBJEFE DE PRECEPTORES 1ERA CAT.</t>
  </si>
  <si>
    <t>JEFE DE PRECEPTORES J. C. AGRARIA</t>
  </si>
  <si>
    <t>JEFE GRAL. DE ENSENANZA PRACTICA 3RA CAT.</t>
  </si>
  <si>
    <t>JEFE DPTO. EDUCACION FISICA (transformado) 971 + 620</t>
  </si>
  <si>
    <t>DIRECTOR DE 1ERA CAT. CON PROLONG. DE JORN.</t>
  </si>
  <si>
    <t>DIRECTOR DE 2DA CAT. CON PROLONG. DE JORN.</t>
  </si>
  <si>
    <t>DIRECTOR DE 3ERA CAT. CON PROLONG. DE JORN.</t>
  </si>
  <si>
    <t>VICEDIRECTOR DE 1ERA CAT. CON PROLONG. DE JORN.</t>
  </si>
  <si>
    <t>VICEDIRECTOR DE 2DA CAT. CON PROLONG. DE JORN.</t>
  </si>
  <si>
    <t>DIRECTOR DE 1ERA A/C DE 2 TURNOS CON P. DE JORN</t>
  </si>
  <si>
    <t>DIRECTOR DE 2DA A/C DE 2 TURNOS CON P. DE JORN.</t>
  </si>
  <si>
    <t>DIRECTOR DE 3ERA A/C DE 2 TURNOS CON P. DE JORN.</t>
  </si>
  <si>
    <t>JEFE DE UNS Y PRODUCCIÓN 1ERA CAT.</t>
  </si>
  <si>
    <t>JEFE DE UNS Y PRODUCCIÓN 2DA CAT.</t>
  </si>
  <si>
    <t>JEFE DE UNS Y PRODUCCIÓN 3ERA CAT.</t>
  </si>
  <si>
    <t>JEFE SECCION ESC. AGROP. CON PROLONG. DE JORN.</t>
  </si>
  <si>
    <t>JEFE INTERN. 1ERA CAT. ESC. AGROP. CON P. DE JORN.</t>
  </si>
  <si>
    <t>JEFE INTERN. 2DA CAT. ESC. AGROP. CON P. DE JORN.</t>
  </si>
  <si>
    <t>JEFE INTERN. 3ERA CAT. ESC. AGROP. CON P. DE JORN.</t>
  </si>
  <si>
    <t>PRECEPTOR AYUDANTE INTERN. 1ERA CAT. CON P. DE JORN. (Pasó a 684)</t>
  </si>
  <si>
    <t>PRECEPTOR AYUDANTE INTERN. 2DA CAT. CON P. DE JORN. (Pasó a 684)</t>
  </si>
  <si>
    <t>PRECEPTOR AYUDANTE INTERNADO</t>
  </si>
  <si>
    <t>VICEDIRECTOR ESC. 3ERA CAT. CON PROLONG. DE JORN.</t>
  </si>
  <si>
    <t>DIRECTOR DE 1ERA CAT. A/C DE 3 TURNOS CON P. DE JORN.</t>
  </si>
  <si>
    <t>DIRECTOR DE 2DA CAT. A/C DE 3 TURNOS CON P. DE JORN.</t>
  </si>
  <si>
    <t>DIRECTOR DE 3ERA CAT. A/C DE 3 TURNOS CON P. DE JORN.</t>
  </si>
  <si>
    <t>PRECEPTOR AYUDANTE INTERN. ESC. TECNICA (Pasó a 684)</t>
  </si>
  <si>
    <t>JEFE SECTORIAL DE JORNADA COMPLETA AGRARIA</t>
  </si>
  <si>
    <t>JEFE INTERN. ESC. TECNICA 1ERA CAT. CON PROL. DE JORN.</t>
  </si>
  <si>
    <t>JEFE INTERN. ESC. TECNICA 2DA CAT. CON PROL. DE JORN.</t>
  </si>
  <si>
    <t>JEFE INTERN. ESC. TECNICA 3ERA CAT. CON PROL. DE JORN.</t>
  </si>
  <si>
    <t>AYUDANTE DE CATEDRA</t>
  </si>
  <si>
    <t>REGENTE DE 3ERA CAT.</t>
  </si>
  <si>
    <t>SUBREGENTE DE 1ERA CAT.</t>
  </si>
  <si>
    <t>JEFE GRAL. DE ENS. PRACTICA 1ERA CAT.</t>
  </si>
  <si>
    <t>JEFE GRAL. DE ENS. PRACTICA 2DA CAT.</t>
  </si>
  <si>
    <t>Secretario Unidad Educación Nivel Inicial 1era Cat.</t>
  </si>
  <si>
    <t>Secretario Unidad Educación Nivel Inicial 1era Cat. Con P. Jorn</t>
  </si>
  <si>
    <t>Secretario Unidad Educación Nivel Inicial 2da. Cat.</t>
  </si>
  <si>
    <t>Secretario Unidad Educación Nivel Inicial 2da. Cat. Con P. Jorn</t>
  </si>
  <si>
    <t>Secretario Unidad Educación Nivel Inicial 3era Cat.</t>
  </si>
  <si>
    <t>SUPERVISOR EDUCACIÓN ARTÍSTICA</t>
  </si>
  <si>
    <t>JEFE DEPARTAMENTO TECNICO</t>
  </si>
  <si>
    <t>SUPERVISOR ESCOLAR DE ZONA</t>
  </si>
  <si>
    <t>SUPERVISOR DE ENSENANZA ESPECIAL</t>
  </si>
  <si>
    <t>SUPERVISOR DE EDUCACION FISICA</t>
  </si>
  <si>
    <t>SUPERVISOR ESCOLAR EDUC. TECNOLÓGICA</t>
  </si>
  <si>
    <t>SUPERVISOR DE EDUCACION MUSICAL</t>
  </si>
  <si>
    <t>TECNICO DOCENTE</t>
  </si>
  <si>
    <t>SECRETARIO DOCENTE HOGAR ESCUELA</t>
  </si>
  <si>
    <t>DIRECTOR ESCUELA 1ERA CATEGORIA</t>
  </si>
  <si>
    <t>DIRECTOR DEL S.A.I.E.</t>
  </si>
  <si>
    <t>DIRECTOR NIVEL INICIAL 1ERA CATEGORIA</t>
  </si>
  <si>
    <t>DIRECTOR ESCUELA 2DA CATEGORIA</t>
  </si>
  <si>
    <t>DIRECTOR NIVEL INICIAL 2DA CATEGORIA</t>
  </si>
  <si>
    <t>DIRECTOR ESCUELA EDUCACION ESPECIAL</t>
  </si>
  <si>
    <t>DIRECTOR ESCUELA 3ERA CATEGORIA</t>
  </si>
  <si>
    <t>VICEDIRECTOR ESCUELA 1ERA CATEGORIA</t>
  </si>
  <si>
    <t>DIRECTOR ESCUELA CARCEL</t>
  </si>
  <si>
    <t>DIRECTOR ESCUELA 4TA CATEGORIA</t>
  </si>
  <si>
    <t>TECNICO DIFERENCIADO</t>
  </si>
  <si>
    <t>VICEDIRECTOR ESCUELA 2DA CATEGORIA</t>
  </si>
  <si>
    <t>DIRECTOR ESCUELA MATERNAL</t>
  </si>
  <si>
    <t>DIRECTOR ESCUELA ADULTOS 1ERA CATEGORIA</t>
  </si>
  <si>
    <t>DIRECTOR ESCUELA CORAL</t>
  </si>
  <si>
    <t>DIRECTOR ESCUELA ADULTOS 2DA CATEGORIA</t>
  </si>
  <si>
    <t>MAESTRO DOMICILIARIO</t>
  </si>
  <si>
    <t>VISITADOR</t>
  </si>
  <si>
    <t>ASISTENTE SOCIAL</t>
  </si>
  <si>
    <t>MAESTRO ESCUELA DIFERENCIADA</t>
  </si>
  <si>
    <t>DIRECTOR PARQUE ESCOLAR "E. BERDUC"</t>
  </si>
  <si>
    <t>MAESTRO ESPECIAL EDUCACION MUSICAL DIFERENCIADO</t>
  </si>
  <si>
    <t>MAESTRO JARDIN DE INFANTES</t>
  </si>
  <si>
    <t>MAESTRO DE GRADO DIFERENCIADO</t>
  </si>
  <si>
    <t>MAESTRO CARCELARIO</t>
  </si>
  <si>
    <t>SECRETARIO ESCUELA 2DA CATEGORIA</t>
  </si>
  <si>
    <t>MAESTRO ESPECIAL ACTIVIDAD PRACTICAS DIFERENCIADA</t>
  </si>
  <si>
    <t>MAESTRO ESCUELA MATERNAL</t>
  </si>
  <si>
    <t>SECRETARIO ESCUELA 1ERA CATEGORIA</t>
  </si>
  <si>
    <t>MAESTRO ESPECIAL ESCUELA CORAL</t>
  </si>
  <si>
    <t>MAESTRO AUXILIAR ESCUELA DIFERENCIADA</t>
  </si>
  <si>
    <t>MAESTRO EDUCACION FISICA</t>
  </si>
  <si>
    <t>SECRETARIO ESCUELA ADULTOS</t>
  </si>
  <si>
    <t>Secretario Esc. Nivel Inicial 1ra CAT</t>
  </si>
  <si>
    <t>TECNICO DOCENTE ENSENANZA ESPECIAL</t>
  </si>
  <si>
    <t>DIRECTOR ESCUELA PARA CIEGOS</t>
  </si>
  <si>
    <t>MAESTRO ESCUELA NOCTURNA</t>
  </si>
  <si>
    <t>MAESTRO ESPECIAL ACTIVIDADES PRACTICAS</t>
  </si>
  <si>
    <t>SECRETARIO PARQUE ESCOLAR</t>
  </si>
  <si>
    <t>MAESTRO ESPECIAL ACTIVIDADES PRACTICAS ADULTO</t>
  </si>
  <si>
    <t>MAESTRO ESPECIAL TECNICO AGROPECUARIO</t>
  </si>
  <si>
    <t>MAESTRO HOSPITALARIO</t>
  </si>
  <si>
    <t>BIBLIOTECARIO PEDAGOGICO</t>
  </si>
  <si>
    <t>COORDINADOR CENTRO LABORAL</t>
  </si>
  <si>
    <t>COORDINADOR DEPARTAMENTAL</t>
  </si>
  <si>
    <t>MAESTRO ESPECIAL EDUCACION MUSICAL</t>
  </si>
  <si>
    <t>FONOAUDIOLOGO</t>
  </si>
  <si>
    <t>PSICOLOGO</t>
  </si>
  <si>
    <t>DIRECTOR ESCUELA PARA SORDOS</t>
  </si>
  <si>
    <t>VICEDIRECTOR ESCUELA ENSENANZA ESPECIAL</t>
  </si>
  <si>
    <t>MAESTRO ESPECIAL EDUCACION FISICA DIFERENCIADO</t>
  </si>
  <si>
    <t>SECRETARIO DOCENTE</t>
  </si>
  <si>
    <t>SUPERVISOR ENSENANZA ADULTOS</t>
  </si>
  <si>
    <t>MAESTRO AUXILIAR ESCUELA DIFERENCIADA JORNADA COMPLETA</t>
  </si>
  <si>
    <t>MAESTRO ESPECIAL ACT. PRACT. DIFERENCIADA J. COMPLETA</t>
  </si>
  <si>
    <t>DIRECTOR ESCUELA ESPECIAL JORNADA COMPLETA</t>
  </si>
  <si>
    <t>VICEDIRECTOR ESCUELA ESPECIAL JORNADA COMPLETA</t>
  </si>
  <si>
    <t>SECRETARIO ESCUELA ESPECIAL</t>
  </si>
  <si>
    <t>MAESTRO ESPECIAL DE TALLER</t>
  </si>
  <si>
    <t>MAESTRO ESPECIAL DE TALLER ANEXO ALBERGUE</t>
  </si>
  <si>
    <t>DIRECTOR NIVEL INICIAL 3ERA CATEGORIA</t>
  </si>
  <si>
    <t>CAPACITADORES CENTROS LABORALES mecl</t>
  </si>
  <si>
    <t>JEFE DPTO PEDAGOGICO Y SUPERVISION</t>
  </si>
  <si>
    <t>COORD. DPTAL. DE CENTROS P/ADULTOS</t>
  </si>
  <si>
    <t>MAESTRO ESPECIAL DEPARTAMENTO APLICACIÓN</t>
  </si>
  <si>
    <t>Vicedirector DPTO. Aplicación 2da CAT</t>
  </si>
  <si>
    <t>Director Jardín de Infantes</t>
  </si>
  <si>
    <t>Vicedirector Nivel Inicial 1ra Categoría</t>
  </si>
  <si>
    <t>ASESOR PSICOLOGIA EDUCATIVA</t>
  </si>
  <si>
    <t>MAESTRO NIVELADOR</t>
  </si>
  <si>
    <t>SUPERVISOR NIVEL INICIAL</t>
  </si>
  <si>
    <t>SUPERVISOR BIBLIOTECAS ESCOLARES</t>
  </si>
  <si>
    <t>SUPERVISOR TECNICO</t>
  </si>
  <si>
    <t>DIRECTOR DPTO APLICACION</t>
  </si>
  <si>
    <t>VICEDIRECTOR DPTO APLICACION DE 2DA CATEGORIA</t>
  </si>
  <si>
    <t>SECRETARIO DPTO APLICACION</t>
  </si>
  <si>
    <t>MAESTRO DPTO APLICACION</t>
  </si>
  <si>
    <t>MAESTRO MATERIAS ESPECIALES DPTO APLICACION</t>
  </si>
  <si>
    <t>DIRECTOR NIVEL INICIAL 1ERA CON PROLONGACIÓN</t>
  </si>
  <si>
    <t>DIRECTOR NIVEL INICIAL 2DA CON PROLONGACIÓN</t>
  </si>
  <si>
    <t>VICEDIRECTOR NIVEL INICIAL 1ERA CON PROLONGACIÓN</t>
  </si>
  <si>
    <t>MAESTRO JARDÍN MATERNAL JORNADA EXTENDIDA</t>
  </si>
  <si>
    <t>Director Esc Nocturna de J. y Ad. En contexto de Priv de libertad</t>
  </si>
  <si>
    <t>DIRECTOR 1ERA CATEGORIA JORNADA COMPLETA</t>
  </si>
  <si>
    <t>DIRECTOR 2DA CATEGORIA JORNADA COMPLETA</t>
  </si>
  <si>
    <t>DIRECTOR 3ERA CATEGORIA JORNADA COMPLETA</t>
  </si>
  <si>
    <t>DIRECTOR 4TA CATEGORIA JORNADA COMPLETA</t>
  </si>
  <si>
    <t>VICEDIRECTOR 2DA CATEGORIA JORNADA COMPLETA</t>
  </si>
  <si>
    <t>MAESTRO DE GRADO JORNADA COMPLETA</t>
  </si>
  <si>
    <t>MAESTRO ESPECIAL DE ACT. PRACTICAS JORN. COMPLETA</t>
  </si>
  <si>
    <t>MAESTRO JARDIN DE INFANTES JORNADA COMPLETA</t>
  </si>
  <si>
    <t>VICEDIRECTOR NIVEL INICIAL 2DA CATEGORIA</t>
  </si>
  <si>
    <t>DIRECTOR 2DA ANEXO ALBERGUE</t>
  </si>
  <si>
    <t>MAESTRO DE GRADO ANEXO ALBERGUE</t>
  </si>
  <si>
    <t>MAESTRO ESP. ACTIV. PRACTICAS ANEXO ALBERGUE</t>
  </si>
  <si>
    <t>DIRECTOR 3ERA CATEGORIA ANEXO ALBERGUE</t>
  </si>
  <si>
    <t>DIRECTOR 4TA CATEGORIA ANEXO ALBERGUE</t>
  </si>
  <si>
    <t>CELADOR ANEXO ALBERGUE</t>
  </si>
  <si>
    <t>VICEDIRECTOR 1ERA CATEGORIA JORNADA COMPLETA</t>
  </si>
  <si>
    <t>SECRETARIO 1ERA CATEGORIA JORNADA COMPLETA</t>
  </si>
  <si>
    <t>SECRETARIO 2DA CATEGORIA JORNADA COMPLETA</t>
  </si>
  <si>
    <t>SECRETARIO 3ERA CATEGORIA JORNADA COMPLETA</t>
  </si>
  <si>
    <t>Director Dpto. Aplicación 1ra Cat.</t>
  </si>
  <si>
    <t>TECNICO DEL PROGRAMA 35 HS</t>
  </si>
  <si>
    <t>Director Dpto. Aplicación 2DA Cat.</t>
  </si>
  <si>
    <t>RESPONSABLE ZONAL O SECTORIAL</t>
  </si>
  <si>
    <t>EDUCADOR DE ADULTOS</t>
  </si>
  <si>
    <t>Vicedirector Dpto Aplicación 1ra CAT</t>
  </si>
  <si>
    <t>MAESTRO ESPECIAL EDUCACION MUSICAL JORNADA COMPLETA</t>
  </si>
  <si>
    <t>MAESTRO ESPECIAL EDUCACION FISICA JORN. COMPLETA</t>
  </si>
  <si>
    <t>MAESTRO ESPECIAL JORNADA SIMPLE SIN PROLONGACION DE JORNADA</t>
  </si>
  <si>
    <t>MAESTRO ESPECIAL EDUCACION MUSICAL ANEXO ALBERGUE</t>
  </si>
  <si>
    <t>MAESTRO ESPECIAL EDUCACION FISICA ANEXO ALBERGUE</t>
  </si>
  <si>
    <t>MAESTRO ESPECIAL DE TALLER JORNADA COMPLETA</t>
  </si>
  <si>
    <t>MAESTRO ESPECIAL TECNICO AGROPECUARIO JORN. COMPLETA</t>
  </si>
  <si>
    <t>Secretario 3ra. CAT Educ. Jóvenes y Adultos</t>
  </si>
  <si>
    <t>DIRECTOR PERSONAL UNICO</t>
  </si>
  <si>
    <t>SECRETARIO ESCUELA 3ERA CATEGORIA</t>
  </si>
  <si>
    <t>COORDINADOR CENTRO COMUNITARIO</t>
  </si>
  <si>
    <t>MAESTRO GRADO EGB3 (PRIMARIA)</t>
  </si>
  <si>
    <t>JEFE DE DEPARTAMENTO TÉCNICO Y SUPERVISIÓN</t>
  </si>
  <si>
    <t>SUPERVISOR DE ENSEÑANZA ESPECIAL</t>
  </si>
  <si>
    <t>SUPERVISOR DE ENSEÑANZA PRIMARIA</t>
  </si>
  <si>
    <t>SUPERVISOR DE ENSEÑANZA INICIAL</t>
  </si>
  <si>
    <t>SUPERVISOR DE ENSEÑANZA NIVEL SUPERIOR</t>
  </si>
  <si>
    <t>SUPERVISOR DE ENSEÑANZA SECUNDARIA</t>
  </si>
  <si>
    <t>SECRETARIO ACADÉMICO</t>
  </si>
  <si>
    <t>JEFE DPTO PEDAGOGICO Y DE SUPERVISION</t>
  </si>
  <si>
    <t>SUPERVISOR INSTITUTO SUPERIOR</t>
  </si>
  <si>
    <t>SUPERVISOR ENSE¥ANZA ESPECIAL</t>
  </si>
  <si>
    <t>SUPERVISOR ENSE¥ANZA PRIMARIA</t>
  </si>
  <si>
    <t>VICERECTOR INSTITUTO SUPERIOR</t>
  </si>
  <si>
    <t>SECRETARIO TECNICO DPTO. PEDAGOGICO</t>
  </si>
  <si>
    <t>DIRECTOR PRIMERA CATEGORIA</t>
  </si>
  <si>
    <t>DIRECTOR SEGUNDA CATEGORIA</t>
  </si>
  <si>
    <t>DIRECTOR TERCERA CATEGORIA</t>
  </si>
  <si>
    <t>DIRECTOR CUARTA CATEGORIA</t>
  </si>
  <si>
    <t>DIRECTOR ESC. NIVEL INICIAL 2DA CATEGORIA</t>
  </si>
  <si>
    <t>VICEDIRECTOR ESC. PRIMARIA 1ERA CATEGORIA</t>
  </si>
  <si>
    <t>VICEDIRECTOR ESC. PRIMARIA 2DA CATEGORIA</t>
  </si>
  <si>
    <t>VICEDIRECTOR ESC. EDUCACION ESPECIAL</t>
  </si>
  <si>
    <t>SECRETARIO ESC. 2DA CATEGORIA</t>
  </si>
  <si>
    <t>MAESTRO DE GRADO ESC. PRIMARIA</t>
  </si>
  <si>
    <t>MAESTRO DE JARDIN DE INFANTES</t>
  </si>
  <si>
    <t>MAESTRO DE GRUPO ESC. DIFERENCIADA</t>
  </si>
  <si>
    <t>MAESTRO DE GRADO ADULTOS</t>
  </si>
  <si>
    <t>MAESTRO DE EDUCACION FISICA</t>
  </si>
  <si>
    <t>MAESTRO MATERIAS ESPECIALES</t>
  </si>
  <si>
    <t>MAESTRO MATERIAS ESPECIALES ESC. DIFERENCIADA</t>
  </si>
  <si>
    <t>PRECEPTOR ESC. DIFERENCIADA</t>
  </si>
  <si>
    <t>DIRECTOR ESCUELA CAPACITACION TECNICA 4TA CATEGORIA</t>
  </si>
  <si>
    <t>MAESTRO ESC. CAPACITACION TECNICA</t>
  </si>
  <si>
    <t>BIBLIOTECARIO INSTITUTO SUPERIOR</t>
  </si>
  <si>
    <t>PRECEPTOR INSTITUTO SUPERIOR</t>
  </si>
  <si>
    <t>BEDEL</t>
  </si>
  <si>
    <t>PRECEPTOR INSTITUTO SUPERIOR - PRIVADA</t>
  </si>
  <si>
    <t>DIRECTOR ESC. CAPACITACION TECNICA 3ERA CATEGORIA</t>
  </si>
  <si>
    <t>DIRECTOR ESC. CAPACITACION TECNICA 1ERA CATEGORIA</t>
  </si>
  <si>
    <t>DIRECTOR ESC. CAPACITACION TECNICA 2DA CATEGORIA</t>
  </si>
  <si>
    <t>SECRETARIO ESC. PRIMARIA 1ERA CATEGORIA</t>
  </si>
  <si>
    <t>DIRECTOR ESC. 2DA CATEGORIA JORNADA COMPLETA</t>
  </si>
  <si>
    <t>MAESTRO DE EDUCACION FISICA JORNADA COMPLETA</t>
  </si>
  <si>
    <t>SECRETARIA DE ESC DE 2DA CATEGORÍA JORN COMP</t>
  </si>
  <si>
    <t>PSICOPEDAGOGO</t>
  </si>
  <si>
    <t>MAESTRO DE ACTIVIDADES PRACTICAS JORNADA COMPLETA</t>
  </si>
  <si>
    <t>MAESTRO DE EDUCACION MUSICAL JORNADA COMPLETA</t>
  </si>
  <si>
    <t>VICEDIRECTOR ESC. 2DA CATEGORIA JORNADA COMPLETA</t>
  </si>
  <si>
    <t>DIRECTOR ESC. 3ERA CAT. JORNADA COMPLETA</t>
  </si>
  <si>
    <t>VICEDIRECTOR ESC. CAP TECNICA 1ERA CATEGORIA</t>
  </si>
  <si>
    <t>SECRETARIO DOCENTE PRIVADA</t>
  </si>
  <si>
    <t>DIRECTOR ESC NIVIEL INICIAL 1RA CATEGORÍA</t>
  </si>
  <si>
    <t>VICEDIRECTOR ESC N INICIAL 2DA CATEG</t>
  </si>
  <si>
    <t>SECRETARIO DOCENTE ESCUELA ENFERMERIA</t>
  </si>
  <si>
    <t>SECRETARIO ADMINISTRATIVO ESCUELA ENFERMERIA</t>
  </si>
  <si>
    <t>INSTRUCTOR INSTITUTO SUPERIOR</t>
  </si>
  <si>
    <t>SECRETARIO DOCENTE SUPERIOR</t>
  </si>
  <si>
    <t>SECRETARIO ACADEMICO</t>
  </si>
  <si>
    <t>JEFE LABORATORIO COMPUTACION</t>
  </si>
  <si>
    <t>MAESTRO ESCUELA ESPECIAL</t>
  </si>
  <si>
    <t>PRECEPTOR GUIA INTERNADO INSTITUTO SUPERIOR</t>
  </si>
  <si>
    <t>DIRECTOR ESC. NIVEL INICIAL 3era CATEGORIA</t>
  </si>
  <si>
    <t>DIRECTOR ESC. NIVEL INICIAL 4ta CATEGORIA</t>
  </si>
  <si>
    <t>KINESIOLOGO</t>
  </si>
  <si>
    <t>MAESTRO ORIENTADOR</t>
  </si>
  <si>
    <t>MAESTRO DE EDUCACION MUSICAL</t>
  </si>
  <si>
    <t>MAESTRO DE ACTIVIDADES PRACTICAS</t>
  </si>
  <si>
    <t>DIRECTOR DPTO APLICACIÓN L. V.</t>
  </si>
  <si>
    <t>SECRETARIO ESC NIV INICIAL 1RA CATEG</t>
  </si>
  <si>
    <t>SECRETARIO ESC NIV INICIAL 2DA CATEG</t>
  </si>
  <si>
    <t>SECRETARIO ESC NIV INICIAL 3RA CATEG</t>
  </si>
  <si>
    <t>SUBDIRECTOR JARDIN DE INFANTES</t>
  </si>
  <si>
    <t>MAESTRO DE GRADO L.V.</t>
  </si>
  <si>
    <t>MAESTRO ESP DPTO APLICACION L.V.</t>
  </si>
  <si>
    <t>ANALISTA TECNICO</t>
  </si>
  <si>
    <t>MAESTRO ESPECIAL JARDIN DEINFANTES</t>
  </si>
  <si>
    <t>DIRECTOR/RECTOR 1§ - 2 TURNOS</t>
  </si>
  <si>
    <t>DIRECTOR/RECTOR 1§ - 3 TURNOS</t>
  </si>
  <si>
    <t>VICEDIRECTOR 1RA Y 2DA</t>
  </si>
  <si>
    <t>REGENTE</t>
  </si>
  <si>
    <t>VICERECTOR ESC DE 3RA CATEGORÍA</t>
  </si>
  <si>
    <t>RECTOR CURSO PROF.</t>
  </si>
  <si>
    <t>SECRETARIO NIVEL SUPERIOR</t>
  </si>
  <si>
    <t>PROSECRETARIO NIVEL SUPERIOR</t>
  </si>
  <si>
    <t>JEFE TRABAJOS PRACTICOS</t>
  </si>
  <si>
    <t>DIRECTOR</t>
  </si>
  <si>
    <t>SECRETARIO ESC DE 3RA CATEGORÍA</t>
  </si>
  <si>
    <t>Aumento6</t>
  </si>
  <si>
    <t>indiceene22</t>
  </si>
  <si>
    <t>indiceproljorene22</t>
  </si>
  <si>
    <t>aumenta 8,9%</t>
  </si>
  <si>
    <t>huttvictor@gmail.com</t>
  </si>
  <si>
    <t>Marzo</t>
  </si>
  <si>
    <t>Aum 1</t>
  </si>
  <si>
    <t>Aum 2</t>
  </si>
  <si>
    <t>Aum 3</t>
  </si>
  <si>
    <t>Aumento acumulado</t>
  </si>
  <si>
    <t>Porcentaje acumulado</t>
  </si>
  <si>
    <t>adic dir 2022</t>
  </si>
  <si>
    <t>comp dir 2022</t>
  </si>
  <si>
    <t>Porcentaje acum</t>
  </si>
  <si>
    <t>Cant horas Cod 38</t>
  </si>
  <si>
    <t>Controlar esta cantidad</t>
  </si>
  <si>
    <t>poné los años</t>
  </si>
  <si>
    <t>Ext Horaria</t>
  </si>
  <si>
    <t>Puntos Extensión</t>
  </si>
  <si>
    <t>Extensión de jornada</t>
  </si>
  <si>
    <t>Nuevo</t>
  </si>
  <si>
    <t>www.victorhutt.com.ar</t>
  </si>
  <si>
    <t>Aum 5 (+4%)</t>
  </si>
  <si>
    <t>Aum 5 (Con +4%)</t>
  </si>
  <si>
    <t>No tenemos los datos precisos de un decreto</t>
  </si>
  <si>
    <t>Puede haber errores</t>
  </si>
  <si>
    <t>Sirve como herramienta orientativa</t>
  </si>
  <si>
    <t>Hs Nivel Medio</t>
  </si>
  <si>
    <t>Hs Nivel Superior</t>
  </si>
  <si>
    <t>Aum 6 (20%)</t>
  </si>
  <si>
    <t>indicesep22</t>
  </si>
  <si>
    <t>Indiceproljorsep22</t>
  </si>
  <si>
    <t>Aum 8 (18%)</t>
  </si>
  <si>
    <t>Aum 7 (7%)</t>
  </si>
  <si>
    <t>Aumento7</t>
  </si>
  <si>
    <t>Aumento8</t>
  </si>
  <si>
    <t>indiceoct22</t>
  </si>
  <si>
    <t>Indiceproljoroct22</t>
  </si>
  <si>
    <t>indicenov22</t>
  </si>
  <si>
    <t>Indiceproljornov22</t>
  </si>
  <si>
    <t>jul</t>
  </si>
  <si>
    <t>ago</t>
  </si>
  <si>
    <t>4000xx</t>
  </si>
  <si>
    <t>Aumento provincial</t>
  </si>
  <si>
    <t>Porcentaje provincial</t>
  </si>
  <si>
    <t>Aumento Nov + Retro Oct</t>
  </si>
  <si>
    <t>Aum FONID</t>
  </si>
  <si>
    <t>Salario de enero 23, con 5% por encima de inflación 2022</t>
  </si>
  <si>
    <t>Aum 9 (5%)</t>
  </si>
  <si>
    <t>indiceene23</t>
  </si>
  <si>
    <t>Indiceproljorene23</t>
  </si>
  <si>
    <t>Bonif ext conectividad nacional</t>
  </si>
  <si>
    <t>Aum 9 (5,35%)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</si>
</sst>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0.0"/>
    <numFmt numFmtId="166" formatCode="0.00000000"/>
    <numFmt numFmtId="167" formatCode="0.0000"/>
    <numFmt numFmtId="168" formatCode="0.00000"/>
  </numFmts>
  <fonts count="147">
    <font>
      <sz val="10"/>
      <color rgb="FF000000"/>
      <name val="Arial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0"/>
      <color rgb="FF008000"/>
      <name val="Arial"/>
      <family val="2"/>
    </font>
    <font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0000"/>
      <name val="Arial"/>
      <family val="2"/>
    </font>
    <font>
      <b/>
      <sz val="12"/>
      <color rgb="FFFFFFFF"/>
      <name val="Arial"/>
      <family val="2"/>
    </font>
    <font>
      <b/>
      <u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rgb="FFFF0000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FFFFFF"/>
      <name val="Arial"/>
      <family val="2"/>
    </font>
    <font>
      <b/>
      <sz val="18"/>
      <color rgb="FFFFFFFF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sz val="10"/>
      <color rgb="FFFFFF00"/>
      <name val="Arial"/>
      <family val="2"/>
    </font>
    <font>
      <b/>
      <u/>
      <sz val="16"/>
      <color rgb="FF000080"/>
      <name val="Arial"/>
      <family val="2"/>
    </font>
    <font>
      <b/>
      <sz val="16"/>
      <color rgb="FF0000FF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16365C"/>
      <name val="Arial"/>
      <family val="2"/>
    </font>
    <font>
      <sz val="10"/>
      <name val="Arial"/>
      <family val="2"/>
    </font>
    <font>
      <b/>
      <u/>
      <sz val="20"/>
      <color rgb="FF000080"/>
      <name val="&quot;Monotype Corsiva&quot;"/>
    </font>
    <font>
      <sz val="10"/>
      <color rgb="FF808080"/>
      <name val="Arial"/>
      <family val="2"/>
    </font>
    <font>
      <b/>
      <sz val="14"/>
      <color rgb="FF000000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2"/>
      <color rgb="FF000080"/>
      <name val="Arial"/>
      <family val="2"/>
    </font>
    <font>
      <sz val="10"/>
      <color rgb="FF000000"/>
      <name val="Arial"/>
      <family val="2"/>
    </font>
    <font>
      <b/>
      <u/>
      <sz val="12"/>
      <color rgb="FFFFFFFF"/>
      <name val="&quot;Monotype Corsiva&quot;"/>
    </font>
    <font>
      <b/>
      <u/>
      <sz val="12"/>
      <color rgb="FFFFFFFF"/>
      <name val="Arial"/>
      <family val="2"/>
    </font>
    <font>
      <b/>
      <sz val="10"/>
      <color rgb="FFFF0000"/>
      <name val="Arial"/>
      <family val="2"/>
    </font>
    <font>
      <b/>
      <u/>
      <sz val="11"/>
      <color rgb="FF0000FF"/>
      <name val="Arial"/>
      <family val="2"/>
    </font>
    <font>
      <b/>
      <u/>
      <sz val="11"/>
      <color rgb="FF0000FF"/>
      <name val="Arial"/>
      <family val="2"/>
    </font>
    <font>
      <b/>
      <u/>
      <sz val="12"/>
      <color rgb="FF000080"/>
      <name val="Arial"/>
      <family val="2"/>
    </font>
    <font>
      <b/>
      <sz val="11"/>
      <color rgb="FF0F243E"/>
      <name val="Arial"/>
      <family val="2"/>
    </font>
    <font>
      <b/>
      <sz val="12"/>
      <color rgb="FF0F243E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3300"/>
      <name val="Arial"/>
      <family val="2"/>
    </font>
    <font>
      <b/>
      <sz val="12"/>
      <color rgb="FF00B050"/>
      <name val="Arial"/>
      <family val="2"/>
    </font>
    <font>
      <b/>
      <sz val="12"/>
      <color rgb="FF00FF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sz val="10"/>
      <color rgb="FF92D05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92D050"/>
      <name val="Arial"/>
      <family val="2"/>
    </font>
    <font>
      <b/>
      <sz val="10"/>
      <color rgb="FF0000FF"/>
      <name val="Arial"/>
      <family val="2"/>
    </font>
    <font>
      <b/>
      <sz val="10"/>
      <color rgb="FF0000FF"/>
      <name val="Arial"/>
      <family val="2"/>
    </font>
    <font>
      <sz val="12"/>
      <color rgb="FF000000"/>
      <name val="Arial"/>
      <family val="2"/>
    </font>
    <font>
      <sz val="10"/>
      <color rgb="FF538DD5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FF0000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rgb="FF800000"/>
      <name val="Arial"/>
      <family val="2"/>
    </font>
    <font>
      <b/>
      <sz val="11"/>
      <color rgb="FF800000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800000"/>
      <name val="Arial"/>
      <family val="2"/>
    </font>
    <font>
      <b/>
      <u/>
      <sz val="12"/>
      <color rgb="FF800000"/>
      <name val="Arial"/>
      <family val="2"/>
    </font>
    <font>
      <sz val="20"/>
      <color theme="1"/>
      <name val="Arial"/>
      <family val="2"/>
    </font>
    <font>
      <b/>
      <sz val="20"/>
      <color rgb="FF00FF00"/>
      <name val="Arial"/>
      <family val="2"/>
    </font>
    <font>
      <b/>
      <sz val="10"/>
      <color rgb="FF339966"/>
      <name val="Arial"/>
      <family val="2"/>
    </font>
    <font>
      <b/>
      <u/>
      <sz val="14"/>
      <color rgb="FF000080"/>
      <name val="&quot;Monotype Corsiva&quot;"/>
    </font>
    <font>
      <b/>
      <sz val="14"/>
      <color rgb="FF0000FF"/>
      <name val="Arial"/>
      <family val="2"/>
    </font>
    <font>
      <b/>
      <sz val="16"/>
      <color rgb="FF0000CC"/>
      <name val="Arial"/>
      <family val="2"/>
    </font>
    <font>
      <b/>
      <u/>
      <sz val="20"/>
      <color rgb="FF000080"/>
      <name val="&quot;Monotype Corsiva&quot;"/>
    </font>
    <font>
      <sz val="14"/>
      <color theme="1"/>
      <name val="Arial"/>
      <family val="2"/>
    </font>
    <font>
      <b/>
      <sz val="10"/>
      <color rgb="FFFF3300"/>
      <name val="Arial"/>
      <family val="2"/>
    </font>
    <font>
      <b/>
      <u/>
      <sz val="18"/>
      <color theme="1"/>
      <name val="Arial"/>
      <family val="2"/>
    </font>
    <font>
      <b/>
      <sz val="12"/>
      <color rgb="FF990000"/>
      <name val="Arial"/>
      <family val="2"/>
    </font>
    <font>
      <b/>
      <u/>
      <sz val="16"/>
      <color rgb="FF800000"/>
      <name val="Arial"/>
      <family val="2"/>
    </font>
    <font>
      <b/>
      <u/>
      <sz val="12"/>
      <color rgb="FF000080"/>
      <name val="&quot;Monotype Corsiva&quot;"/>
    </font>
    <font>
      <b/>
      <sz val="10"/>
      <color rgb="FF16365C"/>
      <name val="Arial"/>
      <family val="2"/>
    </font>
    <font>
      <b/>
      <u/>
      <sz val="12"/>
      <color theme="1"/>
      <name val="Arial"/>
      <family val="2"/>
    </font>
    <font>
      <b/>
      <sz val="12"/>
      <color rgb="FF800080"/>
      <name val="Arial"/>
      <family val="2"/>
    </font>
    <font>
      <u/>
      <sz val="12"/>
      <color rgb="FF0000FF"/>
      <name val="Arial"/>
      <family val="2"/>
    </font>
    <font>
      <u/>
      <sz val="12"/>
      <color rgb="FF0000FF"/>
      <name val="Arial"/>
      <family val="2"/>
    </font>
    <font>
      <b/>
      <u/>
      <sz val="14"/>
      <color theme="1"/>
      <name val="Arial"/>
      <family val="2"/>
    </font>
    <font>
      <u/>
      <sz val="10"/>
      <color rgb="FF0000FF"/>
      <name val="Arial"/>
      <family val="2"/>
    </font>
    <font>
      <sz val="8"/>
      <color rgb="FF000000"/>
      <name val="Arial"/>
      <family val="2"/>
    </font>
    <font>
      <sz val="9"/>
      <color rgb="FF538DD5"/>
      <name val="Arial"/>
      <family val="2"/>
    </font>
    <font>
      <b/>
      <sz val="9"/>
      <color rgb="FFFF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4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1"/>
      <color theme="1"/>
      <name val="Arial"/>
      <family val="2"/>
    </font>
    <font>
      <sz val="10"/>
      <color rgb="FF538DD5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7" tint="0.39997558519241921"/>
      <name val="Arial"/>
      <family val="2"/>
    </font>
    <font>
      <sz val="14"/>
      <color theme="1"/>
      <name val="Arial"/>
      <family val="2"/>
    </font>
    <font>
      <b/>
      <sz val="14"/>
      <color rgb="FF00FF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800000"/>
      <name val="Arial"/>
      <family val="2"/>
    </font>
    <font>
      <b/>
      <u/>
      <sz val="12"/>
      <color theme="1"/>
      <name val="Arial"/>
      <family val="2"/>
    </font>
    <font>
      <b/>
      <sz val="14"/>
      <color rgb="FF800000"/>
      <name val="Arial"/>
      <family val="2"/>
    </font>
    <font>
      <b/>
      <u/>
      <sz val="10"/>
      <color rgb="FF000080"/>
      <name val="&quot;Monotype Corsiva&quot;"/>
    </font>
    <font>
      <u/>
      <sz val="14"/>
      <color theme="1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Inconsolata"/>
    </font>
    <font>
      <sz val="10"/>
      <color theme="4" tint="-0.499984740745262"/>
      <name val="Arial"/>
      <family val="2"/>
    </font>
    <font>
      <b/>
      <sz val="14"/>
      <color rgb="FF0000CC"/>
      <name val="Arial"/>
      <family val="2"/>
    </font>
    <font>
      <sz val="12"/>
      <color rgb="FFFF0000"/>
      <name val="Arial"/>
      <family val="2"/>
    </font>
    <font>
      <b/>
      <sz val="11"/>
      <color rgb="FF000000"/>
      <name val="Arial"/>
      <family val="2"/>
    </font>
    <font>
      <b/>
      <sz val="14"/>
      <color rgb="FFFF3300"/>
      <name val="Arial"/>
      <family val="2"/>
    </font>
    <font>
      <b/>
      <u/>
      <sz val="16"/>
      <color rgb="FF000080"/>
      <name val="&quot;Monotype Corsiva&quot;"/>
    </font>
    <font>
      <b/>
      <sz val="16"/>
      <color theme="5" tint="-0.249977111117893"/>
      <name val="Arial"/>
      <family val="2"/>
    </font>
    <font>
      <b/>
      <u/>
      <sz val="20"/>
      <color theme="4" tint="-0.499984740745262"/>
      <name val="Arial"/>
      <family val="2"/>
    </font>
    <font>
      <b/>
      <u/>
      <sz val="22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b/>
      <sz val="10"/>
      <color rgb="FF073763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2"/>
      <color theme="4" tint="-0.499984740745262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CCFFFF"/>
        <bgColor rgb="FFCCFFFF"/>
      </patternFill>
    </fill>
    <fill>
      <patternFill patternType="solid">
        <fgColor rgb="FF99CC00"/>
        <bgColor rgb="FF99CC00"/>
      </patternFill>
    </fill>
    <fill>
      <patternFill patternType="solid">
        <fgColor rgb="FFC4D79B"/>
        <bgColor rgb="FFC4D79B"/>
      </patternFill>
    </fill>
    <fill>
      <patternFill patternType="solid">
        <fgColor rgb="FFE6B8B7"/>
        <bgColor rgb="FFE6B8B7"/>
      </patternFill>
    </fill>
    <fill>
      <patternFill patternType="solid">
        <fgColor rgb="FF92D050"/>
        <bgColor rgb="FF92D050"/>
      </patternFill>
    </fill>
    <fill>
      <patternFill patternType="solid">
        <fgColor rgb="FFFF6600"/>
        <bgColor rgb="FFFF6600"/>
      </patternFill>
    </fill>
    <fill>
      <patternFill patternType="solid">
        <fgColor rgb="FF99FF99"/>
        <bgColor rgb="FF99FF99"/>
      </patternFill>
    </fill>
    <fill>
      <patternFill patternType="solid">
        <fgColor rgb="FF66FF99"/>
        <bgColor rgb="FF66FF99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CCFFCC"/>
        <bgColor rgb="FFCCFFCC"/>
      </patternFill>
    </fill>
    <fill>
      <patternFill patternType="solid">
        <fgColor rgb="FF06EAEA"/>
        <bgColor rgb="FF06EAEA"/>
      </patternFill>
    </fill>
    <fill>
      <patternFill patternType="solid">
        <fgColor rgb="FF95B3D7"/>
        <bgColor rgb="FF95B3D7"/>
      </patternFill>
    </fill>
    <fill>
      <patternFill patternType="solid">
        <fgColor rgb="FF8DB4E2"/>
        <bgColor rgb="FF8DB4E2"/>
      </patternFill>
    </fill>
    <fill>
      <patternFill patternType="solid">
        <fgColor rgb="FFC4BD97"/>
        <bgColor rgb="FFC4BD97"/>
      </patternFill>
    </fill>
    <fill>
      <patternFill patternType="solid">
        <fgColor rgb="FF66FF66"/>
        <bgColor rgb="FF66FF66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D9D9D9"/>
      </patternFill>
    </fill>
    <fill>
      <patternFill patternType="solid">
        <fgColor rgb="FF00FF00"/>
        <bgColor rgb="FFFF6600"/>
      </patternFill>
    </fill>
    <fill>
      <patternFill patternType="solid">
        <fgColor rgb="FF00FF00"/>
        <bgColor rgb="FFC4D79B"/>
      </patternFill>
    </fill>
    <fill>
      <patternFill patternType="solid">
        <fgColor rgb="FF00FF00"/>
        <bgColor rgb="FF66FF99"/>
      </patternFill>
    </fill>
    <fill>
      <patternFill patternType="solid">
        <fgColor rgb="FF00FF00"/>
        <bgColor rgb="FF00FFFF"/>
      </patternFill>
    </fill>
    <fill>
      <patternFill patternType="solid">
        <fgColor rgb="FF00FF00"/>
        <bgColor rgb="FFCCFFCC"/>
      </patternFill>
    </fill>
    <fill>
      <patternFill patternType="solid">
        <fgColor rgb="FF00FF00"/>
        <bgColor rgb="FFFFFFFF"/>
      </patternFill>
    </fill>
    <fill>
      <patternFill patternType="solid">
        <fgColor rgb="FF00FF00"/>
        <bgColor rgb="FF99FF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rgb="FFD9D9D9"/>
      </patternFill>
    </fill>
    <fill>
      <patternFill patternType="solid">
        <fgColor rgb="FFFF66FF"/>
        <bgColor indexed="64"/>
      </patternFill>
    </fill>
    <fill>
      <patternFill patternType="solid">
        <fgColor rgb="FFFF66FF"/>
        <bgColor rgb="FF00FF00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FF00"/>
      </top>
      <bottom/>
      <diagonal/>
    </border>
    <border>
      <left style="thin">
        <color rgb="FF00FF00"/>
      </left>
      <right/>
      <top style="thin">
        <color rgb="FF00FF00"/>
      </top>
      <bottom/>
      <diagonal/>
    </border>
    <border>
      <left/>
      <right/>
      <top style="thin">
        <color rgb="FF00FF00"/>
      </top>
      <bottom/>
      <diagonal/>
    </border>
    <border>
      <left style="thin">
        <color rgb="FF00FF00"/>
      </left>
      <right/>
      <top/>
      <bottom/>
      <diagonal/>
    </border>
    <border>
      <left/>
      <right style="thin">
        <color rgb="FF00FF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FF00"/>
      </left>
      <right style="double">
        <color rgb="FF00FF00"/>
      </right>
      <top style="double">
        <color rgb="FF00FF00"/>
      </top>
      <bottom/>
      <diagonal/>
    </border>
    <border>
      <left style="double">
        <color rgb="FF00FF00"/>
      </left>
      <right style="double">
        <color rgb="FF00FF00"/>
      </right>
      <top/>
      <bottom style="double">
        <color rgb="FF00FF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/>
      <top style="thin">
        <color rgb="FF666666"/>
      </top>
      <bottom style="thin">
        <color rgb="FF666666"/>
      </bottom>
      <diagonal/>
    </border>
    <border>
      <left style="medium">
        <color rgb="FF1F497D"/>
      </left>
      <right style="thin">
        <color rgb="FF000000"/>
      </right>
      <top style="medium">
        <color rgb="FF1F497D"/>
      </top>
      <bottom style="thin">
        <color rgb="FF000000"/>
      </bottom>
      <diagonal/>
    </border>
    <border>
      <left/>
      <right style="medium">
        <color rgb="FF1F497D"/>
      </right>
      <top style="medium">
        <color rgb="FF1F497D"/>
      </top>
      <bottom style="thin">
        <color rgb="FF000000"/>
      </bottom>
      <diagonal/>
    </border>
    <border>
      <left style="medium">
        <color rgb="FF1F497D"/>
      </left>
      <right style="thin">
        <color rgb="FF000000"/>
      </right>
      <top/>
      <bottom style="medium">
        <color rgb="FF1F497D"/>
      </bottom>
      <diagonal/>
    </border>
    <border>
      <left/>
      <right style="medium">
        <color rgb="FF1F497D"/>
      </right>
      <top/>
      <bottom style="medium">
        <color rgb="FF1F497D"/>
      </bottom>
      <diagonal/>
    </border>
    <border>
      <left style="medium">
        <color rgb="FFE06666"/>
      </left>
      <right style="thin">
        <color rgb="FF000000"/>
      </right>
      <top style="medium">
        <color rgb="FFE06666"/>
      </top>
      <bottom style="thin">
        <color rgb="FF000000"/>
      </bottom>
      <diagonal/>
    </border>
    <border>
      <left/>
      <right style="medium">
        <color rgb="FFE06666"/>
      </right>
      <top style="medium">
        <color rgb="FFE06666"/>
      </top>
      <bottom style="thin">
        <color rgb="FF000000"/>
      </bottom>
      <diagonal/>
    </border>
    <border>
      <left style="medium">
        <color rgb="FFE06666"/>
      </left>
      <right style="thin">
        <color rgb="FF000000"/>
      </right>
      <top/>
      <bottom style="medium">
        <color rgb="FFE06666"/>
      </bottom>
      <diagonal/>
    </border>
    <border>
      <left/>
      <right style="medium">
        <color rgb="FFE06666"/>
      </right>
      <top/>
      <bottom style="medium">
        <color rgb="FFE06666"/>
      </bottom>
      <diagonal/>
    </border>
    <border>
      <left style="medium">
        <color rgb="FF6AA84F"/>
      </left>
      <right style="thin">
        <color rgb="FF000000"/>
      </right>
      <top style="medium">
        <color rgb="FF6AA84F"/>
      </top>
      <bottom style="thin">
        <color rgb="FF000000"/>
      </bottom>
      <diagonal/>
    </border>
    <border>
      <left/>
      <right style="medium">
        <color rgb="FF6AA84F"/>
      </right>
      <top style="medium">
        <color rgb="FF6AA84F"/>
      </top>
      <bottom style="thin">
        <color rgb="FF000000"/>
      </bottom>
      <diagonal/>
    </border>
    <border>
      <left style="medium">
        <color rgb="FF6AA84F"/>
      </left>
      <right style="thin">
        <color rgb="FF000000"/>
      </right>
      <top/>
      <bottom style="medium">
        <color rgb="FF6AA84F"/>
      </bottom>
      <diagonal/>
    </border>
    <border>
      <left/>
      <right style="medium">
        <color rgb="FF6AA84F"/>
      </right>
      <top/>
      <bottom style="medium">
        <color rgb="FF6AA84F"/>
      </bottom>
      <diagonal/>
    </border>
    <border>
      <left style="thick">
        <color rgb="FF0000CC"/>
      </left>
      <right style="thin">
        <color rgb="FF000000"/>
      </right>
      <top style="thick">
        <color rgb="FF0000CC"/>
      </top>
      <bottom style="thin">
        <color rgb="FF000000"/>
      </bottom>
      <diagonal/>
    </border>
    <border>
      <left/>
      <right style="thick">
        <color rgb="FF0000CC"/>
      </right>
      <top style="thick">
        <color rgb="FF0000CC"/>
      </top>
      <bottom style="thin">
        <color rgb="FF000000"/>
      </bottom>
      <diagonal/>
    </border>
    <border>
      <left style="thick">
        <color rgb="FF0000CC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CC"/>
      </right>
      <top/>
      <bottom style="thin">
        <color rgb="FF000000"/>
      </bottom>
      <diagonal/>
    </border>
    <border>
      <left style="thick">
        <color rgb="FF0000CC"/>
      </left>
      <right style="thin">
        <color rgb="FF000000"/>
      </right>
      <top/>
      <bottom style="thick">
        <color rgb="FF0000CC"/>
      </bottom>
      <diagonal/>
    </border>
    <border>
      <left/>
      <right style="thick">
        <color rgb="FF0000CC"/>
      </right>
      <top/>
      <bottom style="thick">
        <color rgb="FF0000CC"/>
      </bottom>
      <diagonal/>
    </border>
    <border>
      <left style="thin">
        <color rgb="FF00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FF0000"/>
      </left>
      <right style="thin">
        <color rgb="FF000000"/>
      </right>
      <top style="thin">
        <color rgb="FFFF0000"/>
      </top>
      <bottom/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000000"/>
      </left>
      <right/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thick">
        <color rgb="FF0000CC"/>
      </left>
      <right/>
      <top/>
      <bottom/>
      <diagonal/>
    </border>
    <border>
      <left style="thin">
        <color rgb="FF000000"/>
      </left>
      <right style="thick">
        <color rgb="FF0000CC"/>
      </right>
      <top/>
      <bottom/>
      <diagonal/>
    </border>
    <border>
      <left style="thick">
        <color rgb="FF0000CC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CC"/>
      </right>
      <top style="thin">
        <color rgb="FF000000"/>
      </top>
      <bottom/>
      <diagonal/>
    </border>
    <border>
      <left style="thick">
        <color rgb="FF0000CC"/>
      </left>
      <right/>
      <top style="thin">
        <color rgb="FF000000"/>
      </top>
      <bottom style="thick">
        <color rgb="FF0000CC"/>
      </bottom>
      <diagonal/>
    </border>
    <border>
      <left style="thin">
        <color rgb="FF000000"/>
      </left>
      <right style="thick">
        <color rgb="FF0000CC"/>
      </right>
      <top style="thin">
        <color rgb="FF000000"/>
      </top>
      <bottom style="thick">
        <color rgb="FF0000CC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double">
        <color rgb="FF00FF00"/>
      </left>
      <right style="double">
        <color rgb="FF00FF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rgb="FF00FF00"/>
      </right>
      <top style="double">
        <color rgb="FF00FF00"/>
      </top>
      <bottom/>
      <diagonal/>
    </border>
    <border>
      <left/>
      <right style="double">
        <color rgb="FF00FF00"/>
      </right>
      <top/>
      <bottom style="double">
        <color rgb="FF00FF00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 style="thin">
        <color rgb="FF000000"/>
      </left>
      <right style="thick">
        <color theme="5" tint="-0.24994659260841701"/>
      </right>
      <top style="thick">
        <color theme="5" tint="-0.24994659260841701"/>
      </top>
      <bottom style="thin">
        <color rgb="FF000000"/>
      </bottom>
      <diagonal/>
    </border>
    <border>
      <left style="thick">
        <color theme="5" tint="-0.24994659260841701"/>
      </left>
      <right/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ck">
        <color theme="5" tint="-0.24994659260841701"/>
      </right>
      <top/>
      <bottom style="thin">
        <color rgb="FFFF0000"/>
      </bottom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/>
      <bottom style="thin">
        <color rgb="FF000000"/>
      </bottom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  <border>
      <left/>
      <right style="thin">
        <color rgb="FF000000"/>
      </right>
      <top style="medium">
        <color rgb="FF1F497D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1F497D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000000"/>
      </right>
      <top style="medium">
        <color rgb="FFE06666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E06666"/>
      </bottom>
      <diagonal/>
    </border>
    <border>
      <left/>
      <right style="thin">
        <color rgb="FF000000"/>
      </right>
      <top style="medium">
        <color rgb="FF6AA84F"/>
      </top>
      <bottom style="thin">
        <color rgb="FF000000"/>
      </bottom>
      <diagonal/>
    </border>
    <border>
      <left style="thin">
        <color rgb="FFFF0000"/>
      </left>
      <right/>
      <top style="thin">
        <color rgb="FFFF0000"/>
      </top>
      <bottom style="thin">
        <color rgb="FF000000"/>
      </bottom>
      <diagonal/>
    </border>
    <border>
      <left style="medium">
        <color theme="7" tint="0.39994506668294322"/>
      </left>
      <right style="medium">
        <color theme="7" tint="0.39994506668294322"/>
      </right>
      <top style="medium">
        <color theme="7" tint="0.39994506668294322"/>
      </top>
      <bottom/>
      <diagonal/>
    </border>
    <border>
      <left style="medium">
        <color theme="7" tint="0.39994506668294322"/>
      </left>
      <right style="medium">
        <color theme="7" tint="0.39994506668294322"/>
      </right>
      <top/>
      <bottom style="medium">
        <color theme="7" tint="0.39994506668294322"/>
      </bottom>
      <diagonal/>
    </border>
    <border>
      <left/>
      <right style="double">
        <color rgb="FF00FF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4" fillId="0" borderId="0" applyNumberFormat="0" applyFill="0" applyBorder="0" applyAlignment="0" applyProtection="0"/>
    <xf numFmtId="9" fontId="39" fillId="0" borderId="0" applyFont="0" applyFill="0" applyBorder="0" applyAlignment="0" applyProtection="0"/>
  </cellStyleXfs>
  <cellXfs count="877">
    <xf numFmtId="0" fontId="0" fillId="0" borderId="0" xfId="0" applyFont="1" applyAlignment="1"/>
    <xf numFmtId="0" fontId="7" fillId="0" borderId="0" xfId="0" applyFont="1" applyAlignment="1"/>
    <xf numFmtId="0" fontId="1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5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7" xfId="0" applyFont="1" applyBorder="1" applyAlignment="1"/>
    <xf numFmtId="0" fontId="7" fillId="0" borderId="2" xfId="0" applyFont="1" applyBorder="1" applyAlignment="1"/>
    <xf numFmtId="0" fontId="7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/>
    <xf numFmtId="0" fontId="11" fillId="0" borderId="0" xfId="0" applyFont="1" applyAlignment="1"/>
    <xf numFmtId="0" fontId="100" fillId="0" borderId="0" xfId="0" applyFont="1" applyAlignment="1">
      <alignment horizontal="left"/>
    </xf>
    <xf numFmtId="0" fontId="18" fillId="4" borderId="8" xfId="0" applyFont="1" applyFill="1" applyBorder="1" applyAlignment="1"/>
    <xf numFmtId="0" fontId="42" fillId="0" borderId="17" xfId="0" applyFont="1" applyBorder="1" applyAlignment="1"/>
    <xf numFmtId="0" fontId="1" fillId="0" borderId="17" xfId="0" applyFont="1" applyBorder="1" applyAlignment="1"/>
    <xf numFmtId="0" fontId="1" fillId="0" borderId="6" xfId="0" applyFont="1" applyBorder="1" applyAlignment="1"/>
    <xf numFmtId="0" fontId="30" fillId="0" borderId="0" xfId="0" applyFont="1" applyAlignment="1"/>
    <xf numFmtId="0" fontId="101" fillId="0" borderId="0" xfId="0" applyFont="1" applyAlignment="1"/>
    <xf numFmtId="0" fontId="42" fillId="0" borderId="0" xfId="0" applyFont="1" applyAlignment="1"/>
    <xf numFmtId="0" fontId="1" fillId="0" borderId="5" xfId="0" applyFont="1" applyBorder="1" applyAlignment="1"/>
    <xf numFmtId="0" fontId="7" fillId="0" borderId="8" xfId="0" applyFont="1" applyBorder="1" applyAlignment="1">
      <alignment horizontal="right"/>
    </xf>
    <xf numFmtId="0" fontId="53" fillId="0" borderId="4" xfId="0" applyFont="1" applyBorder="1" applyAlignment="1"/>
    <xf numFmtId="0" fontId="53" fillId="0" borderId="2" xfId="0" applyFont="1" applyBorder="1" applyAlignment="1"/>
    <xf numFmtId="0" fontId="55" fillId="0" borderId="2" xfId="0" applyFont="1" applyBorder="1" applyAlignment="1"/>
    <xf numFmtId="0" fontId="7" fillId="4" borderId="5" xfId="0" applyFont="1" applyFill="1" applyBorder="1" applyAlignment="1">
      <alignment horizontal="right"/>
    </xf>
    <xf numFmtId="0" fontId="53" fillId="4" borderId="2" xfId="0" applyFont="1" applyFill="1" applyBorder="1" applyAlignment="1"/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 applyAlignment="1"/>
    <xf numFmtId="0" fontId="7" fillId="4" borderId="0" xfId="0" applyFont="1" applyFill="1" applyAlignment="1"/>
    <xf numFmtId="0" fontId="102" fillId="4" borderId="2" xfId="0" applyFont="1" applyFill="1" applyBorder="1" applyAlignment="1"/>
    <xf numFmtId="0" fontId="42" fillId="0" borderId="5" xfId="0" applyFont="1" applyBorder="1" applyAlignment="1">
      <alignment horizontal="right"/>
    </xf>
    <xf numFmtId="0" fontId="103" fillId="0" borderId="2" xfId="0" applyFont="1" applyBorder="1" applyAlignment="1"/>
    <xf numFmtId="0" fontId="102" fillId="0" borderId="2" xfId="0" applyFont="1" applyBorder="1" applyAlignment="1"/>
    <xf numFmtId="0" fontId="63" fillId="0" borderId="5" xfId="0" applyFont="1" applyBorder="1" applyAlignment="1">
      <alignment horizontal="right"/>
    </xf>
    <xf numFmtId="0" fontId="63" fillId="0" borderId="2" xfId="0" applyFont="1" applyBorder="1" applyAlignment="1"/>
    <xf numFmtId="0" fontId="63" fillId="0" borderId="0" xfId="0" applyFont="1" applyAlignment="1"/>
    <xf numFmtId="0" fontId="7" fillId="0" borderId="4" xfId="0" applyFont="1" applyBorder="1" applyAlignment="1"/>
    <xf numFmtId="0" fontId="30" fillId="0" borderId="2" xfId="0" applyFont="1" applyBorder="1" applyAlignment="1"/>
    <xf numFmtId="17" fontId="116" fillId="2" borderId="0" xfId="0" applyNumberFormat="1" applyFont="1" applyFill="1" applyAlignment="1">
      <alignment horizontal="center"/>
    </xf>
    <xf numFmtId="0" fontId="0" fillId="0" borderId="0" xfId="0" applyFont="1" applyAlignment="1"/>
    <xf numFmtId="2" fontId="105" fillId="5" borderId="65" xfId="0" applyNumberFormat="1" applyFont="1" applyFill="1" applyBorder="1"/>
    <xf numFmtId="2" fontId="105" fillId="2" borderId="65" xfId="0" applyNumberFormat="1" applyFont="1" applyFill="1" applyBorder="1"/>
    <xf numFmtId="2" fontId="106" fillId="2" borderId="65" xfId="0" applyNumberFormat="1" applyFont="1" applyFill="1" applyBorder="1"/>
    <xf numFmtId="2" fontId="106" fillId="5" borderId="65" xfId="0" applyNumberFormat="1" applyFont="1" applyFill="1" applyBorder="1"/>
    <xf numFmtId="2" fontId="71" fillId="0" borderId="75" xfId="0" applyNumberFormat="1" applyFont="1" applyBorder="1" applyAlignment="1">
      <alignment horizontal="left"/>
    </xf>
    <xf numFmtId="1" fontId="108" fillId="5" borderId="65" xfId="0" applyNumberFormat="1" applyFont="1" applyFill="1" applyBorder="1" applyAlignment="1">
      <alignment horizontal="right"/>
    </xf>
    <xf numFmtId="0" fontId="129" fillId="0" borderId="0" xfId="0" applyFont="1" applyAlignment="1"/>
    <xf numFmtId="1" fontId="108" fillId="2" borderId="65" xfId="0" applyNumberFormat="1" applyFont="1" applyFill="1" applyBorder="1" applyAlignment="1">
      <alignment horizontal="right"/>
    </xf>
    <xf numFmtId="2" fontId="108" fillId="0" borderId="0" xfId="0" applyNumberFormat="1" applyFont="1" applyAlignment="1" applyProtection="1">
      <protection locked="0"/>
    </xf>
    <xf numFmtId="2" fontId="108" fillId="2" borderId="0" xfId="0" applyNumberFormat="1" applyFont="1" applyFill="1" applyAlignment="1"/>
    <xf numFmtId="2" fontId="109" fillId="2" borderId="0" xfId="0" applyNumberFormat="1" applyFont="1" applyFill="1" applyAlignment="1">
      <alignment horizontal="center"/>
    </xf>
    <xf numFmtId="2" fontId="108" fillId="0" borderId="0" xfId="0" applyNumberFormat="1" applyFont="1" applyAlignment="1"/>
    <xf numFmtId="2" fontId="109" fillId="0" borderId="0" xfId="0" applyNumberFormat="1" applyFont="1" applyAlignment="1">
      <alignment horizontal="center"/>
    </xf>
    <xf numFmtId="2" fontId="117" fillId="0" borderId="0" xfId="0" applyNumberFormat="1" applyFont="1" applyAlignment="1"/>
    <xf numFmtId="2" fontId="123" fillId="0" borderId="0" xfId="0" applyNumberFormat="1" applyFont="1" applyAlignment="1"/>
    <xf numFmtId="2" fontId="8" fillId="0" borderId="1" xfId="0" applyNumberFormat="1" applyFont="1" applyBorder="1" applyAlignment="1">
      <alignment horizontal="left"/>
    </xf>
    <xf numFmtId="2" fontId="7" fillId="3" borderId="1" xfId="0" applyNumberFormat="1" applyFont="1" applyFill="1" applyBorder="1" applyAlignment="1">
      <alignment horizontal="left"/>
    </xf>
    <xf numFmtId="2" fontId="7" fillId="3" borderId="2" xfId="0" applyNumberFormat="1" applyFont="1" applyFill="1" applyBorder="1" applyAlignment="1">
      <alignment horizontal="left"/>
    </xf>
    <xf numFmtId="2" fontId="7" fillId="3" borderId="0" xfId="0" applyNumberFormat="1" applyFont="1" applyFill="1" applyAlignment="1">
      <alignment horizontal="left"/>
    </xf>
    <xf numFmtId="2" fontId="7" fillId="0" borderId="0" xfId="0" applyNumberFormat="1" applyFont="1" applyAlignment="1"/>
    <xf numFmtId="2" fontId="0" fillId="0" borderId="0" xfId="0" applyNumberFormat="1" applyFont="1" applyAlignment="1"/>
    <xf numFmtId="2" fontId="9" fillId="0" borderId="0" xfId="0" applyNumberFormat="1" applyFont="1" applyAlignment="1"/>
    <xf numFmtId="2" fontId="10" fillId="6" borderId="0" xfId="0" applyNumberFormat="1" applyFont="1" applyFill="1" applyAlignment="1"/>
    <xf numFmtId="2" fontId="11" fillId="6" borderId="0" xfId="0" applyNumberFormat="1" applyFont="1" applyFill="1" applyAlignment="1"/>
    <xf numFmtId="2" fontId="7" fillId="6" borderId="0" xfId="0" applyNumberFormat="1" applyFont="1" applyFill="1" applyAlignment="1"/>
    <xf numFmtId="2" fontId="13" fillId="0" borderId="0" xfId="0" applyNumberFormat="1" applyFont="1" applyAlignment="1"/>
    <xf numFmtId="2" fontId="0" fillId="0" borderId="0" xfId="0" applyNumberFormat="1" applyFont="1" applyAlignment="1"/>
    <xf numFmtId="2" fontId="14" fillId="0" borderId="0" xfId="0" applyNumberFormat="1" applyFont="1" applyAlignment="1"/>
    <xf numFmtId="2" fontId="1" fillId="0" borderId="0" xfId="0" applyNumberFormat="1" applyFont="1" applyAlignment="1"/>
    <xf numFmtId="2" fontId="16" fillId="0" borderId="0" xfId="0" applyNumberFormat="1" applyFont="1" applyAlignment="1"/>
    <xf numFmtId="2" fontId="1" fillId="0" borderId="0" xfId="0" applyNumberFormat="1" applyFont="1" applyAlignment="1" applyProtection="1">
      <protection locked="0"/>
    </xf>
    <xf numFmtId="2" fontId="2" fillId="0" borderId="0" xfId="0" applyNumberFormat="1" applyFont="1" applyAlignment="1"/>
    <xf numFmtId="2" fontId="1" fillId="7" borderId="3" xfId="0" applyNumberFormat="1" applyFont="1" applyFill="1" applyBorder="1" applyAlignment="1">
      <alignment horizontal="left"/>
    </xf>
    <xf numFmtId="2" fontId="1" fillId="7" borderId="4" xfId="0" applyNumberFormat="1" applyFont="1" applyFill="1" applyBorder="1" applyAlignment="1">
      <alignment horizontal="left"/>
    </xf>
    <xf numFmtId="2" fontId="14" fillId="0" borderId="0" xfId="0" applyNumberFormat="1" applyFont="1" applyAlignment="1">
      <alignment horizontal="right"/>
    </xf>
    <xf numFmtId="2" fontId="1" fillId="7" borderId="5" xfId="0" applyNumberFormat="1" applyFont="1" applyFill="1" applyBorder="1" applyAlignment="1">
      <alignment horizontal="center"/>
    </xf>
    <xf numFmtId="2" fontId="1" fillId="7" borderId="6" xfId="0" applyNumberFormat="1" applyFont="1" applyFill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/>
    <xf numFmtId="2" fontId="7" fillId="0" borderId="4" xfId="0" applyNumberFormat="1" applyFont="1" applyBorder="1" applyAlignment="1"/>
    <xf numFmtId="2" fontId="17" fillId="0" borderId="4" xfId="0" applyNumberFormat="1" applyFont="1" applyBorder="1" applyAlignment="1"/>
    <xf numFmtId="2" fontId="9" fillId="0" borderId="4" xfId="0" applyNumberFormat="1" applyFont="1" applyBorder="1" applyAlignment="1"/>
    <xf numFmtId="2" fontId="14" fillId="0" borderId="0" xfId="0" applyNumberFormat="1" applyFont="1" applyAlignment="1">
      <alignment horizontal="center"/>
    </xf>
    <xf numFmtId="2" fontId="1" fillId="8" borderId="5" xfId="0" applyNumberFormat="1" applyFont="1" applyFill="1" applyBorder="1" applyAlignment="1">
      <alignment horizontal="right"/>
    </xf>
    <xf numFmtId="2" fontId="1" fillId="8" borderId="4" xfId="0" applyNumberFormat="1" applyFont="1" applyFill="1" applyBorder="1" applyAlignment="1">
      <alignment horizontal="right"/>
    </xf>
    <xf numFmtId="2" fontId="18" fillId="9" borderId="3" xfId="0" applyNumberFormat="1" applyFont="1" applyFill="1" applyBorder="1" applyAlignment="1">
      <alignment horizontal="right"/>
    </xf>
    <xf numFmtId="2" fontId="5" fillId="0" borderId="9" xfId="0" applyNumberFormat="1" applyFont="1" applyBorder="1" applyAlignment="1">
      <alignment horizontal="center"/>
    </xf>
    <xf numFmtId="2" fontId="19" fillId="0" borderId="5" xfId="0" applyNumberFormat="1" applyFont="1" applyBorder="1" applyAlignment="1">
      <alignment horizontal="right"/>
    </xf>
    <xf numFmtId="2" fontId="19" fillId="0" borderId="2" xfId="0" applyNumberFormat="1" applyFont="1" applyBorder="1" applyAlignment="1">
      <alignment horizontal="right"/>
    </xf>
    <xf numFmtId="2" fontId="14" fillId="0" borderId="4" xfId="0" applyNumberFormat="1" applyFont="1" applyBorder="1" applyAlignment="1">
      <alignment horizontal="right"/>
    </xf>
    <xf numFmtId="2" fontId="1" fillId="8" borderId="2" xfId="0" applyNumberFormat="1" applyFont="1" applyFill="1" applyBorder="1" applyAlignment="1">
      <alignment horizontal="right"/>
    </xf>
    <xf numFmtId="2" fontId="18" fillId="9" borderId="10" xfId="0" applyNumberFormat="1" applyFont="1" applyFill="1" applyBorder="1" applyAlignment="1">
      <alignment horizontal="right"/>
    </xf>
    <xf numFmtId="2" fontId="18" fillId="3" borderId="10" xfId="0" applyNumberFormat="1" applyFont="1" applyFill="1" applyBorder="1" applyAlignment="1">
      <alignment horizontal="right"/>
    </xf>
    <xf numFmtId="2" fontId="1" fillId="8" borderId="0" xfId="0" applyNumberFormat="1" applyFont="1" applyFill="1" applyAlignment="1"/>
    <xf numFmtId="2" fontId="18" fillId="3" borderId="0" xfId="0" applyNumberFormat="1" applyFont="1" applyFill="1" applyAlignment="1"/>
    <xf numFmtId="2" fontId="5" fillId="0" borderId="0" xfId="0" applyNumberFormat="1" applyFont="1" applyAlignment="1">
      <alignment horizontal="center"/>
    </xf>
    <xf numFmtId="2" fontId="19" fillId="0" borderId="0" xfId="0" applyNumberFormat="1" applyFont="1" applyAlignment="1"/>
    <xf numFmtId="2" fontId="7" fillId="10" borderId="0" xfId="0" applyNumberFormat="1" applyFont="1" applyFill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11" borderId="0" xfId="0" applyNumberFormat="1" applyFont="1" applyFill="1" applyAlignment="1">
      <alignment horizontal="right"/>
    </xf>
    <xf numFmtId="2" fontId="18" fillId="0" borderId="0" xfId="0" applyNumberFormat="1" applyFont="1" applyAlignment="1"/>
    <xf numFmtId="2" fontId="113" fillId="0" borderId="58" xfId="0" applyNumberFormat="1" applyFont="1" applyBorder="1" applyAlignment="1">
      <alignment horizontal="right" wrapText="1"/>
    </xf>
    <xf numFmtId="2" fontId="113" fillId="0" borderId="59" xfId="0" applyNumberFormat="1" applyFont="1" applyBorder="1" applyAlignment="1">
      <alignment horizontal="right" wrapText="1"/>
    </xf>
    <xf numFmtId="2" fontId="113" fillId="0" borderId="60" xfId="0" applyNumberFormat="1" applyFont="1" applyBorder="1" applyAlignment="1">
      <alignment horizontal="right" wrapText="1"/>
    </xf>
    <xf numFmtId="2" fontId="20" fillId="3" borderId="11" xfId="0" applyNumberFormat="1" applyFont="1" applyFill="1" applyBorder="1" applyAlignment="1"/>
    <xf numFmtId="2" fontId="20" fillId="3" borderId="12" xfId="0" applyNumberFormat="1" applyFont="1" applyFill="1" applyBorder="1" applyAlignment="1"/>
    <xf numFmtId="2" fontId="10" fillId="3" borderId="12" xfId="0" applyNumberFormat="1" applyFont="1" applyFill="1" applyBorder="1" applyAlignment="1"/>
    <xf numFmtId="2" fontId="21" fillId="3" borderId="13" xfId="0" applyNumberFormat="1" applyFont="1" applyFill="1" applyBorder="1" applyAlignment="1"/>
    <xf numFmtId="2" fontId="20" fillId="0" borderId="0" xfId="0" applyNumberFormat="1" applyFont="1" applyAlignment="1"/>
    <xf numFmtId="2" fontId="20" fillId="3" borderId="14" xfId="0" applyNumberFormat="1" applyFont="1" applyFill="1" applyBorder="1" applyAlignment="1"/>
    <xf numFmtId="2" fontId="22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/>
    <xf numFmtId="2" fontId="23" fillId="0" borderId="0" xfId="0" applyNumberFormat="1" applyFont="1" applyAlignment="1"/>
    <xf numFmtId="2" fontId="12" fillId="3" borderId="0" xfId="0" applyNumberFormat="1" applyFont="1" applyFill="1" applyAlignment="1"/>
    <xf numFmtId="2" fontId="23" fillId="0" borderId="0" xfId="0" applyNumberFormat="1" applyFont="1" applyAlignment="1">
      <alignment horizontal="right"/>
    </xf>
    <xf numFmtId="2" fontId="15" fillId="0" borderId="0" xfId="0" applyNumberFormat="1" applyFont="1" applyAlignment="1"/>
    <xf numFmtId="2" fontId="10" fillId="3" borderId="14" xfId="0" applyNumberFormat="1" applyFont="1" applyFill="1" applyBorder="1" applyAlignment="1"/>
    <xf numFmtId="2" fontId="24" fillId="3" borderId="15" xfId="0" applyNumberFormat="1" applyFont="1" applyFill="1" applyBorder="1" applyAlignment="1"/>
    <xf numFmtId="2" fontId="24" fillId="3" borderId="0" xfId="0" applyNumberFormat="1" applyFont="1" applyFill="1" applyAlignment="1"/>
    <xf numFmtId="2" fontId="20" fillId="0" borderId="16" xfId="0" applyNumberFormat="1" applyFont="1" applyBorder="1" applyAlignment="1"/>
    <xf numFmtId="2" fontId="22" fillId="0" borderId="17" xfId="0" applyNumberFormat="1" applyFont="1" applyBorder="1" applyAlignment="1">
      <alignment horizontal="right"/>
    </xf>
    <xf numFmtId="2" fontId="7" fillId="4" borderId="0" xfId="0" applyNumberFormat="1" applyFont="1" applyFill="1" applyAlignment="1"/>
    <xf numFmtId="2" fontId="23" fillId="0" borderId="0" xfId="0" applyNumberFormat="1" applyFont="1" applyAlignment="1">
      <alignment horizontal="center"/>
    </xf>
    <xf numFmtId="2" fontId="25" fillId="0" borderId="0" xfId="0" applyNumberFormat="1" applyFont="1" applyAlignment="1"/>
    <xf numFmtId="2" fontId="7" fillId="3" borderId="18" xfId="0" applyNumberFormat="1" applyFont="1" applyFill="1" applyBorder="1" applyAlignment="1"/>
    <xf numFmtId="2" fontId="7" fillId="3" borderId="19" xfId="0" applyNumberFormat="1" applyFont="1" applyFill="1" applyBorder="1" applyAlignment="1"/>
    <xf numFmtId="2" fontId="1" fillId="3" borderId="19" xfId="0" applyNumberFormat="1" applyFont="1" applyFill="1" applyBorder="1" applyAlignment="1"/>
    <xf numFmtId="2" fontId="7" fillId="3" borderId="20" xfId="0" applyNumberFormat="1" applyFont="1" applyFill="1" applyBorder="1" applyAlignment="1"/>
    <xf numFmtId="2" fontId="24" fillId="0" borderId="21" xfId="0" applyNumberFormat="1" applyFont="1" applyBorder="1" applyAlignment="1"/>
    <xf numFmtId="2" fontId="12" fillId="0" borderId="0" xfId="0" applyNumberFormat="1" applyFont="1" applyAlignment="1"/>
    <xf numFmtId="2" fontId="7" fillId="0" borderId="0" xfId="0" applyNumberFormat="1" applyFont="1" applyAlignment="1">
      <alignment horizontal="center"/>
    </xf>
    <xf numFmtId="2" fontId="4" fillId="0" borderId="0" xfId="0" applyNumberFormat="1" applyFont="1" applyAlignment="1"/>
    <xf numFmtId="2" fontId="26" fillId="0" borderId="0" xfId="0" applyNumberFormat="1" applyFont="1" applyAlignment="1"/>
    <xf numFmtId="2" fontId="27" fillId="0" borderId="0" xfId="0" applyNumberFormat="1" applyFont="1" applyAlignment="1"/>
    <xf numFmtId="2" fontId="28" fillId="4" borderId="22" xfId="0" applyNumberFormat="1" applyFont="1" applyFill="1" applyBorder="1" applyAlignment="1"/>
    <xf numFmtId="2" fontId="28" fillId="4" borderId="23" xfId="0" applyNumberFormat="1" applyFont="1" applyFill="1" applyBorder="1" applyAlignment="1"/>
    <xf numFmtId="2" fontId="1" fillId="4" borderId="0" xfId="0" applyNumberFormat="1" applyFont="1" applyFill="1" applyAlignment="1"/>
    <xf numFmtId="2" fontId="1" fillId="4" borderId="25" xfId="0" applyNumberFormat="1" applyFont="1" applyFill="1" applyBorder="1" applyAlignment="1"/>
    <xf numFmtId="2" fontId="24" fillId="0" borderId="0" xfId="0" applyNumberFormat="1" applyFont="1" applyAlignment="1"/>
    <xf numFmtId="2" fontId="7" fillId="0" borderId="24" xfId="0" applyNumberFormat="1" applyFont="1" applyBorder="1" applyAlignment="1"/>
    <xf numFmtId="2" fontId="29" fillId="0" borderId="0" xfId="0" applyNumberFormat="1" applyFont="1" applyAlignment="1"/>
    <xf numFmtId="2" fontId="7" fillId="0" borderId="25" xfId="0" applyNumberFormat="1" applyFont="1" applyBorder="1" applyAlignment="1"/>
    <xf numFmtId="2" fontId="30" fillId="0" borderId="0" xfId="0" applyNumberFormat="1" applyFont="1" applyAlignment="1"/>
    <xf numFmtId="2" fontId="31" fillId="0" borderId="4" xfId="0" applyNumberFormat="1" applyFont="1" applyBorder="1" applyAlignment="1"/>
    <xf numFmtId="2" fontId="33" fillId="0" borderId="0" xfId="0" applyNumberFormat="1" applyFont="1" applyAlignment="1"/>
    <xf numFmtId="2" fontId="34" fillId="0" borderId="0" xfId="0" applyNumberFormat="1" applyFont="1" applyAlignment="1"/>
    <xf numFmtId="2" fontId="35" fillId="0" borderId="0" xfId="0" applyNumberFormat="1" applyFont="1" applyAlignment="1"/>
    <xf numFmtId="2" fontId="36" fillId="0" borderId="0" xfId="0" applyNumberFormat="1" applyFont="1" applyAlignment="1"/>
    <xf numFmtId="2" fontId="7" fillId="0" borderId="27" xfId="0" applyNumberFormat="1" applyFont="1" applyBorder="1" applyAlignment="1"/>
    <xf numFmtId="2" fontId="105" fillId="0" borderId="0" xfId="0" applyNumberFormat="1" applyFont="1" applyAlignment="1"/>
    <xf numFmtId="2" fontId="112" fillId="0" borderId="61" xfId="0" applyNumberFormat="1" applyFont="1" applyBorder="1" applyAlignment="1">
      <alignment horizontal="right" wrapText="1"/>
    </xf>
    <xf numFmtId="2" fontId="7" fillId="12" borderId="0" xfId="0" applyNumberFormat="1" applyFont="1" applyFill="1" applyAlignment="1"/>
    <xf numFmtId="2" fontId="105" fillId="12" borderId="0" xfId="0" applyNumberFormat="1" applyFont="1" applyFill="1" applyAlignment="1"/>
    <xf numFmtId="2" fontId="7" fillId="0" borderId="0" xfId="0" applyNumberFormat="1" applyFont="1"/>
    <xf numFmtId="2" fontId="2" fillId="0" borderId="0" xfId="0" applyNumberFormat="1" applyFont="1"/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2" fontId="30" fillId="13" borderId="0" xfId="0" applyNumberFormat="1" applyFont="1" applyFill="1" applyAlignment="1"/>
    <xf numFmtId="2" fontId="37" fillId="0" borderId="0" xfId="0" applyNumberFormat="1" applyFont="1" applyAlignment="1"/>
    <xf numFmtId="2" fontId="7" fillId="3" borderId="0" xfId="0" applyNumberFormat="1" applyFont="1" applyFill="1" applyAlignment="1"/>
    <xf numFmtId="2" fontId="7" fillId="13" borderId="0" xfId="0" applyNumberFormat="1" applyFont="1" applyFill="1" applyAlignment="1"/>
    <xf numFmtId="2" fontId="38" fillId="0" borderId="0" xfId="0" applyNumberFormat="1" applyFont="1" applyAlignment="1"/>
    <xf numFmtId="2" fontId="39" fillId="0" borderId="0" xfId="0" applyNumberFormat="1" applyFont="1" applyAlignment="1"/>
    <xf numFmtId="2" fontId="40" fillId="0" borderId="0" xfId="0" applyNumberFormat="1" applyFont="1" applyAlignment="1"/>
    <xf numFmtId="2" fontId="41" fillId="0" borderId="0" xfId="0" applyNumberFormat="1" applyFont="1" applyAlignment="1"/>
    <xf numFmtId="2" fontId="1" fillId="0" borderId="8" xfId="0" applyNumberFormat="1" applyFont="1" applyBorder="1" applyAlignment="1"/>
    <xf numFmtId="2" fontId="1" fillId="0" borderId="4" xfId="0" applyNumberFormat="1" applyFont="1" applyBorder="1" applyAlignment="1"/>
    <xf numFmtId="2" fontId="1" fillId="0" borderId="26" xfId="0" applyNumberFormat="1" applyFont="1" applyBorder="1" applyAlignment="1"/>
    <xf numFmtId="2" fontId="1" fillId="0" borderId="0" xfId="0" applyNumberFormat="1" applyFont="1" applyAlignment="1">
      <alignment horizontal="right"/>
    </xf>
    <xf numFmtId="2" fontId="7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2" fontId="30" fillId="0" borderId="8" xfId="0" applyNumberFormat="1" applyFont="1" applyBorder="1" applyAlignment="1"/>
    <xf numFmtId="2" fontId="7" fillId="0" borderId="26" xfId="0" applyNumberFormat="1" applyFont="1" applyBorder="1" applyAlignment="1"/>
    <xf numFmtId="2" fontId="1" fillId="0" borderId="3" xfId="0" applyNumberFormat="1" applyFont="1" applyBorder="1" applyAlignment="1"/>
    <xf numFmtId="2" fontId="7" fillId="0" borderId="1" xfId="0" applyNumberFormat="1" applyFont="1" applyBorder="1" applyAlignment="1"/>
    <xf numFmtId="2" fontId="43" fillId="0" borderId="0" xfId="0" applyNumberFormat="1" applyFont="1" applyAlignment="1"/>
    <xf numFmtId="2" fontId="44" fillId="0" borderId="0" xfId="0" applyNumberFormat="1" applyFont="1" applyAlignment="1" applyProtection="1">
      <protection locked="0"/>
    </xf>
    <xf numFmtId="2" fontId="45" fillId="0" borderId="0" xfId="0" applyNumberFormat="1" applyFont="1" applyAlignment="1"/>
    <xf numFmtId="2" fontId="37" fillId="0" borderId="0" xfId="0" applyNumberFormat="1" applyFont="1" applyAlignment="1">
      <alignment horizontal="right"/>
    </xf>
    <xf numFmtId="2" fontId="14" fillId="4" borderId="29" xfId="0" applyNumberFormat="1" applyFont="1" applyFill="1" applyBorder="1" applyAlignment="1">
      <alignment horizontal="right"/>
    </xf>
    <xf numFmtId="2" fontId="14" fillId="24" borderId="0" xfId="0" applyNumberFormat="1" applyFont="1" applyFill="1" applyAlignment="1">
      <alignment horizontal="center"/>
    </xf>
    <xf numFmtId="2" fontId="5" fillId="32" borderId="0" xfId="0" applyNumberFormat="1" applyFont="1" applyFill="1" applyAlignment="1">
      <alignment horizontal="center"/>
    </xf>
    <xf numFmtId="2" fontId="48" fillId="0" borderId="0" xfId="0" applyNumberFormat="1" applyFont="1" applyAlignment="1">
      <alignment horizontal="right"/>
    </xf>
    <xf numFmtId="2" fontId="5" fillId="24" borderId="0" xfId="0" applyNumberFormat="1" applyFont="1" applyFill="1" applyAlignment="1">
      <alignment horizontal="center"/>
    </xf>
    <xf numFmtId="2" fontId="116" fillId="2" borderId="0" xfId="0" applyNumberFormat="1" applyFont="1" applyFill="1" applyAlignment="1">
      <alignment horizontal="center"/>
    </xf>
    <xf numFmtId="2" fontId="118" fillId="24" borderId="0" xfId="0" applyNumberFormat="1" applyFont="1" applyFill="1" applyAlignment="1"/>
    <xf numFmtId="2" fontId="48" fillId="0" borderId="0" xfId="0" applyNumberFormat="1" applyFont="1" applyAlignment="1"/>
    <xf numFmtId="2" fontId="50" fillId="15" borderId="0" xfId="0" applyNumberFormat="1" applyFont="1" applyFill="1" applyAlignment="1"/>
    <xf numFmtId="2" fontId="50" fillId="28" borderId="0" xfId="0" applyNumberFormat="1" applyFont="1" applyFill="1" applyAlignment="1"/>
    <xf numFmtId="2" fontId="25" fillId="0" borderId="0" xfId="0" applyNumberFormat="1" applyFont="1" applyAlignment="1" applyProtection="1">
      <protection locked="0"/>
    </xf>
    <xf numFmtId="2" fontId="25" fillId="24" borderId="0" xfId="0" applyNumberFormat="1" applyFont="1" applyFill="1" applyAlignment="1"/>
    <xf numFmtId="2" fontId="51" fillId="0" borderId="0" xfId="0" applyNumberFormat="1" applyFont="1" applyAlignment="1"/>
    <xf numFmtId="2" fontId="52" fillId="0" borderId="0" xfId="0" applyNumberFormat="1" applyFont="1" applyAlignment="1"/>
    <xf numFmtId="2" fontId="7" fillId="24" borderId="1" xfId="0" applyNumberFormat="1" applyFont="1" applyFill="1" applyBorder="1" applyAlignment="1"/>
    <xf numFmtId="2" fontId="30" fillId="0" borderId="5" xfId="0" applyNumberFormat="1" applyFont="1" applyBorder="1" applyAlignment="1"/>
    <xf numFmtId="2" fontId="30" fillId="0" borderId="6" xfId="0" applyNumberFormat="1" applyFont="1" applyBorder="1" applyAlignment="1"/>
    <xf numFmtId="2" fontId="1" fillId="0" borderId="6" xfId="0" applyNumberFormat="1" applyFont="1" applyBorder="1" applyAlignment="1"/>
    <xf numFmtId="2" fontId="1" fillId="24" borderId="6" xfId="0" applyNumberFormat="1" applyFont="1" applyFill="1" applyBorder="1" applyAlignment="1"/>
    <xf numFmtId="2" fontId="105" fillId="24" borderId="66" xfId="0" applyNumberFormat="1" applyFont="1" applyFill="1" applyBorder="1"/>
    <xf numFmtId="2" fontId="105" fillId="2" borderId="67" xfId="0" applyNumberFormat="1" applyFont="1" applyFill="1" applyBorder="1"/>
    <xf numFmtId="2" fontId="119" fillId="3" borderId="66" xfId="0" applyNumberFormat="1" applyFont="1" applyFill="1" applyBorder="1"/>
    <xf numFmtId="2" fontId="119" fillId="24" borderId="66" xfId="0" applyNumberFormat="1" applyFont="1" applyFill="1" applyBorder="1"/>
    <xf numFmtId="2" fontId="109" fillId="5" borderId="65" xfId="0" applyNumberFormat="1" applyFont="1" applyFill="1" applyBorder="1"/>
    <xf numFmtId="2" fontId="106" fillId="24" borderId="66" xfId="0" applyNumberFormat="1" applyFont="1" applyFill="1" applyBorder="1"/>
    <xf numFmtId="2" fontId="109" fillId="2" borderId="65" xfId="0" applyNumberFormat="1" applyFont="1" applyFill="1" applyBorder="1"/>
    <xf numFmtId="2" fontId="105" fillId="5" borderId="65" xfId="0" applyNumberFormat="1" applyFont="1" applyFill="1" applyBorder="1" applyAlignment="1">
      <alignment horizontal="right"/>
    </xf>
    <xf numFmtId="2" fontId="105" fillId="5" borderId="32" xfId="0" applyNumberFormat="1" applyFont="1" applyFill="1" applyBorder="1"/>
    <xf numFmtId="2" fontId="105" fillId="5" borderId="68" xfId="0" applyNumberFormat="1" applyFont="1" applyFill="1" applyBorder="1"/>
    <xf numFmtId="2" fontId="106" fillId="5" borderId="68" xfId="0" applyNumberFormat="1" applyFont="1" applyFill="1" applyBorder="1"/>
    <xf numFmtId="2" fontId="106" fillId="24" borderId="31" xfId="0" applyNumberFormat="1" applyFont="1" applyFill="1" applyBorder="1"/>
    <xf numFmtId="2" fontId="7" fillId="0" borderId="6" xfId="0" applyNumberFormat="1" applyFont="1" applyBorder="1" applyAlignment="1"/>
    <xf numFmtId="2" fontId="7" fillId="24" borderId="0" xfId="0" applyNumberFormat="1" applyFont="1" applyFill="1" applyAlignment="1"/>
    <xf numFmtId="2" fontId="7" fillId="0" borderId="0" xfId="0" applyNumberFormat="1" applyFont="1" applyAlignment="1" applyProtection="1">
      <protection locked="0"/>
    </xf>
    <xf numFmtId="2" fontId="2" fillId="0" borderId="31" xfId="0" applyNumberFormat="1" applyFont="1" applyBorder="1"/>
    <xf numFmtId="2" fontId="7" fillId="0" borderId="2" xfId="0" applyNumberFormat="1" applyFont="1" applyBorder="1" applyAlignment="1"/>
    <xf numFmtId="2" fontId="7" fillId="16" borderId="33" xfId="0" applyNumberFormat="1" applyFont="1" applyFill="1" applyBorder="1" applyAlignment="1">
      <alignment horizontal="left"/>
    </xf>
    <xf numFmtId="2" fontId="107" fillId="16" borderId="34" xfId="0" applyNumberFormat="1" applyFont="1" applyFill="1" applyBorder="1" applyAlignment="1">
      <alignment horizontal="left"/>
    </xf>
    <xf numFmtId="2" fontId="7" fillId="16" borderId="35" xfId="0" applyNumberFormat="1" applyFont="1" applyFill="1" applyBorder="1" applyAlignment="1">
      <alignment horizontal="left"/>
    </xf>
    <xf numFmtId="2" fontId="107" fillId="16" borderId="36" xfId="0" applyNumberFormat="1" applyFont="1" applyFill="1" applyBorder="1" applyAlignment="1">
      <alignment horizontal="left"/>
    </xf>
    <xf numFmtId="2" fontId="7" fillId="0" borderId="6" xfId="0" applyNumberFormat="1" applyFont="1" applyBorder="1" applyAlignment="1">
      <alignment horizontal="left"/>
    </xf>
    <xf numFmtId="2" fontId="107" fillId="0" borderId="6" xfId="0" applyNumberFormat="1" applyFont="1" applyBorder="1" applyAlignment="1">
      <alignment horizontal="left"/>
    </xf>
    <xf numFmtId="2" fontId="7" fillId="17" borderId="37" xfId="0" applyNumberFormat="1" applyFont="1" applyFill="1" applyBorder="1" applyAlignment="1">
      <alignment horizontal="left"/>
    </xf>
    <xf numFmtId="2" fontId="107" fillId="17" borderId="38" xfId="0" applyNumberFormat="1" applyFont="1" applyFill="1" applyBorder="1" applyAlignment="1">
      <alignment horizontal="left"/>
    </xf>
    <xf numFmtId="2" fontId="7" fillId="17" borderId="39" xfId="0" applyNumberFormat="1" applyFont="1" applyFill="1" applyBorder="1" applyAlignment="1">
      <alignment horizontal="left"/>
    </xf>
    <xf numFmtId="2" fontId="107" fillId="17" borderId="40" xfId="0" applyNumberFormat="1" applyFont="1" applyFill="1" applyBorder="1" applyAlignment="1">
      <alignment horizontal="left"/>
    </xf>
    <xf numFmtId="2" fontId="7" fillId="18" borderId="41" xfId="0" applyNumberFormat="1" applyFont="1" applyFill="1" applyBorder="1" applyAlignment="1">
      <alignment horizontal="left"/>
    </xf>
    <xf numFmtId="2" fontId="107" fillId="18" borderId="42" xfId="0" applyNumberFormat="1" applyFont="1" applyFill="1" applyBorder="1" applyAlignment="1">
      <alignment horizontal="left"/>
    </xf>
    <xf numFmtId="2" fontId="7" fillId="18" borderId="43" xfId="0" applyNumberFormat="1" applyFont="1" applyFill="1" applyBorder="1" applyAlignment="1">
      <alignment horizontal="left"/>
    </xf>
    <xf numFmtId="2" fontId="107" fillId="18" borderId="44" xfId="0" applyNumberFormat="1" applyFont="1" applyFill="1" applyBorder="1" applyAlignment="1">
      <alignment horizontal="left"/>
    </xf>
    <xf numFmtId="2" fontId="2" fillId="0" borderId="45" xfId="0" applyNumberFormat="1" applyFont="1" applyBorder="1" applyAlignment="1">
      <alignment horizontal="left"/>
    </xf>
    <xf numFmtId="2" fontId="7" fillId="0" borderId="46" xfId="0" applyNumberFormat="1" applyFont="1" applyBorder="1" applyAlignment="1">
      <alignment horizontal="left"/>
    </xf>
    <xf numFmtId="2" fontId="7" fillId="0" borderId="47" xfId="0" applyNumberFormat="1" applyFont="1" applyBorder="1" applyAlignment="1">
      <alignment horizontal="left"/>
    </xf>
    <xf numFmtId="2" fontId="107" fillId="0" borderId="48" xfId="0" applyNumberFormat="1" applyFont="1" applyBorder="1" applyAlignment="1">
      <alignment horizontal="left"/>
    </xf>
    <xf numFmtId="2" fontId="7" fillId="0" borderId="48" xfId="0" applyNumberFormat="1" applyFont="1" applyBorder="1" applyAlignment="1">
      <alignment horizontal="left"/>
    </xf>
    <xf numFmtId="2" fontId="1" fillId="0" borderId="48" xfId="0" applyNumberFormat="1" applyFont="1" applyBorder="1" applyAlignment="1">
      <alignment horizontal="left"/>
    </xf>
    <xf numFmtId="2" fontId="108" fillId="0" borderId="47" xfId="0" applyNumberFormat="1" applyFont="1" applyBorder="1" applyAlignment="1">
      <alignment horizontal="left"/>
    </xf>
    <xf numFmtId="2" fontId="108" fillId="0" borderId="48" xfId="0" applyNumberFormat="1" applyFont="1" applyBorder="1" applyAlignment="1">
      <alignment horizontal="left"/>
    </xf>
    <xf numFmtId="2" fontId="108" fillId="24" borderId="6" xfId="0" applyNumberFormat="1" applyFont="1" applyFill="1" applyBorder="1" applyAlignment="1"/>
    <xf numFmtId="2" fontId="7" fillId="0" borderId="49" xfId="0" applyNumberFormat="1" applyFont="1" applyBorder="1" applyAlignment="1">
      <alignment horizontal="left"/>
    </xf>
    <xf numFmtId="2" fontId="2" fillId="0" borderId="50" xfId="0" applyNumberFormat="1" applyFont="1" applyBorder="1" applyAlignment="1">
      <alignment horizontal="left"/>
    </xf>
    <xf numFmtId="2" fontId="1" fillId="0" borderId="75" xfId="0" applyNumberFormat="1" applyFont="1" applyBorder="1" applyAlignment="1"/>
    <xf numFmtId="2" fontId="1" fillId="24" borderId="75" xfId="0" applyNumberFormat="1" applyFont="1" applyFill="1" applyBorder="1" applyAlignment="1"/>
    <xf numFmtId="2" fontId="7" fillId="0" borderId="75" xfId="0" applyNumberFormat="1" applyFont="1" applyBorder="1" applyAlignment="1">
      <alignment horizontal="center"/>
    </xf>
    <xf numFmtId="2" fontId="7" fillId="0" borderId="75" xfId="0" applyNumberFormat="1" applyFont="1" applyBorder="1" applyAlignment="1"/>
    <xf numFmtId="2" fontId="53" fillId="0" borderId="75" xfId="0" applyNumberFormat="1" applyFont="1" applyBorder="1" applyAlignment="1">
      <alignment horizontal="left"/>
    </xf>
    <xf numFmtId="2" fontId="54" fillId="0" borderId="75" xfId="0" applyNumberFormat="1" applyFont="1" applyBorder="1" applyAlignment="1">
      <alignment horizontal="left"/>
    </xf>
    <xf numFmtId="2" fontId="7" fillId="0" borderId="75" xfId="0" applyNumberFormat="1" applyFont="1" applyBorder="1" applyAlignment="1">
      <alignment horizontal="left"/>
    </xf>
    <xf numFmtId="2" fontId="53" fillId="3" borderId="75" xfId="0" applyNumberFormat="1" applyFont="1" applyFill="1" applyBorder="1" applyAlignment="1">
      <alignment horizontal="left"/>
    </xf>
    <xf numFmtId="2" fontId="7" fillId="0" borderId="0" xfId="0" applyNumberFormat="1" applyFont="1" applyAlignment="1">
      <alignment horizontal="left"/>
    </xf>
    <xf numFmtId="2" fontId="7" fillId="2" borderId="75" xfId="0" applyNumberFormat="1" applyFont="1" applyFill="1" applyBorder="1" applyAlignment="1">
      <alignment horizontal="center"/>
    </xf>
    <xf numFmtId="2" fontId="7" fillId="2" borderId="75" xfId="0" applyNumberFormat="1" applyFont="1" applyFill="1" applyBorder="1" applyAlignment="1"/>
    <xf numFmtId="2" fontId="53" fillId="2" borderId="75" xfId="0" applyNumberFormat="1" applyFont="1" applyFill="1" applyBorder="1" applyAlignment="1">
      <alignment horizontal="left"/>
    </xf>
    <xf numFmtId="2" fontId="54" fillId="2" borderId="75" xfId="0" applyNumberFormat="1" applyFont="1" applyFill="1" applyBorder="1" applyAlignment="1">
      <alignment horizontal="left"/>
    </xf>
    <xf numFmtId="2" fontId="55" fillId="3" borderId="75" xfId="0" applyNumberFormat="1" applyFont="1" applyFill="1" applyBorder="1" applyAlignment="1">
      <alignment horizontal="left"/>
    </xf>
    <xf numFmtId="2" fontId="56" fillId="0" borderId="0" xfId="0" applyNumberFormat="1" applyFont="1" applyAlignment="1"/>
    <xf numFmtId="2" fontId="39" fillId="0" borderId="75" xfId="0" applyNumberFormat="1" applyFont="1" applyBorder="1" applyAlignment="1"/>
    <xf numFmtId="2" fontId="57" fillId="0" borderId="75" xfId="0" applyNumberFormat="1" applyFont="1" applyBorder="1" applyAlignment="1">
      <alignment horizontal="left"/>
    </xf>
    <xf numFmtId="2" fontId="0" fillId="0" borderId="75" xfId="0" applyNumberFormat="1" applyFont="1" applyBorder="1" applyAlignment="1">
      <alignment horizontal="left"/>
    </xf>
    <xf numFmtId="2" fontId="39" fillId="0" borderId="0" xfId="0" applyNumberFormat="1" applyFont="1" applyAlignment="1">
      <alignment horizontal="left"/>
    </xf>
    <xf numFmtId="2" fontId="7" fillId="0" borderId="0" xfId="0" applyNumberFormat="1" applyFont="1" applyBorder="1" applyAlignment="1">
      <alignment horizontal="left"/>
    </xf>
    <xf numFmtId="2" fontId="56" fillId="0" borderId="0" xfId="0" applyNumberFormat="1" applyFont="1" applyBorder="1" applyAlignment="1"/>
    <xf numFmtId="2" fontId="7" fillId="19" borderId="75" xfId="0" applyNumberFormat="1" applyFont="1" applyFill="1" applyBorder="1" applyAlignment="1"/>
    <xf numFmtId="2" fontId="54" fillId="19" borderId="75" xfId="0" applyNumberFormat="1" applyFont="1" applyFill="1" applyBorder="1" applyAlignment="1">
      <alignment horizontal="left"/>
    </xf>
    <xf numFmtId="2" fontId="131" fillId="3" borderId="75" xfId="0" applyNumberFormat="1" applyFont="1" applyFill="1" applyBorder="1" applyAlignment="1"/>
    <xf numFmtId="2" fontId="7" fillId="3" borderId="75" xfId="0" applyNumberFormat="1" applyFont="1" applyFill="1" applyBorder="1" applyAlignment="1"/>
    <xf numFmtId="2" fontId="7" fillId="0" borderId="0" xfId="0" applyNumberFormat="1" applyFont="1" applyBorder="1" applyAlignment="1">
      <alignment horizontal="center"/>
    </xf>
    <xf numFmtId="2" fontId="7" fillId="2" borderId="75" xfId="0" applyNumberFormat="1" applyFont="1" applyFill="1" applyBorder="1" applyAlignment="1">
      <alignment horizontal="right"/>
    </xf>
    <xf numFmtId="2" fontId="131" fillId="3" borderId="75" xfId="0" applyNumberFormat="1" applyFont="1" applyFill="1" applyBorder="1" applyAlignment="1">
      <alignment horizontal="right"/>
    </xf>
    <xf numFmtId="2" fontId="58" fillId="2" borderId="75" xfId="0" applyNumberFormat="1" applyFont="1" applyFill="1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2" fontId="129" fillId="3" borderId="75" xfId="0" applyNumberFormat="1" applyFont="1" applyFill="1" applyBorder="1" applyAlignment="1">
      <alignment horizontal="right"/>
    </xf>
    <xf numFmtId="2" fontId="59" fillId="0" borderId="0" xfId="0" applyNumberFormat="1" applyFont="1" applyBorder="1" applyAlignment="1"/>
    <xf numFmtId="2" fontId="59" fillId="0" borderId="0" xfId="0" applyNumberFormat="1" applyFont="1" applyAlignment="1"/>
    <xf numFmtId="2" fontId="132" fillId="31" borderId="75" xfId="0" applyNumberFormat="1" applyFont="1" applyFill="1" applyBorder="1"/>
    <xf numFmtId="2" fontId="58" fillId="0" borderId="75" xfId="0" applyNumberFormat="1" applyFont="1" applyBorder="1" applyAlignment="1">
      <alignment horizontal="left"/>
    </xf>
    <xf numFmtId="2" fontId="60" fillId="2" borderId="75" xfId="0" applyNumberFormat="1" applyFont="1" applyFill="1" applyBorder="1" applyAlignment="1"/>
    <xf numFmtId="2" fontId="61" fillId="2" borderId="75" xfId="0" applyNumberFormat="1" applyFont="1" applyFill="1" applyBorder="1" applyAlignment="1">
      <alignment horizontal="left"/>
    </xf>
    <xf numFmtId="2" fontId="60" fillId="0" borderId="0" xfId="0" applyNumberFormat="1" applyFont="1" applyBorder="1" applyAlignment="1">
      <alignment horizontal="left"/>
    </xf>
    <xf numFmtId="2" fontId="36" fillId="0" borderId="0" xfId="0" applyNumberFormat="1" applyFont="1" applyAlignment="1">
      <alignment horizontal="left"/>
    </xf>
    <xf numFmtId="2" fontId="62" fillId="0" borderId="0" xfId="0" applyNumberFormat="1" applyFont="1" applyAlignment="1">
      <alignment horizontal="left"/>
    </xf>
    <xf numFmtId="2" fontId="7" fillId="0" borderId="75" xfId="0" applyNumberFormat="1" applyFont="1" applyBorder="1" applyAlignment="1">
      <alignment horizontal="right"/>
    </xf>
    <xf numFmtId="2" fontId="115" fillId="0" borderId="75" xfId="0" applyNumberFormat="1" applyFont="1" applyBorder="1" applyAlignment="1">
      <alignment horizontal="left"/>
    </xf>
    <xf numFmtId="2" fontId="42" fillId="2" borderId="75" xfId="0" applyNumberFormat="1" applyFont="1" applyFill="1" applyBorder="1" applyAlignment="1">
      <alignment horizontal="right"/>
    </xf>
    <xf numFmtId="2" fontId="3" fillId="0" borderId="0" xfId="0" applyNumberFormat="1" applyFont="1" applyAlignment="1">
      <alignment horizontal="left"/>
    </xf>
    <xf numFmtId="2" fontId="1" fillId="2" borderId="75" xfId="0" applyNumberFormat="1" applyFont="1" applyFill="1" applyBorder="1" applyAlignment="1"/>
    <xf numFmtId="2" fontId="64" fillId="2" borderId="75" xfId="0" applyNumberFormat="1" applyFont="1" applyFill="1" applyBorder="1" applyAlignment="1">
      <alignment horizontal="left"/>
    </xf>
    <xf numFmtId="2" fontId="129" fillId="3" borderId="75" xfId="0" applyNumberFormat="1" applyFont="1" applyFill="1" applyBorder="1" applyAlignment="1"/>
    <xf numFmtId="2" fontId="66" fillId="0" borderId="0" xfId="0" applyNumberFormat="1" applyFont="1" applyAlignment="1">
      <alignment horizontal="left"/>
    </xf>
    <xf numFmtId="2" fontId="14" fillId="2" borderId="75" xfId="0" applyNumberFormat="1" applyFont="1" applyFill="1" applyBorder="1" applyAlignment="1">
      <alignment horizontal="right"/>
    </xf>
    <xf numFmtId="2" fontId="3" fillId="0" borderId="0" xfId="0" applyNumberFormat="1" applyFont="1" applyAlignment="1"/>
    <xf numFmtId="2" fontId="14" fillId="2" borderId="75" xfId="0" applyNumberFormat="1" applyFont="1" applyFill="1" applyBorder="1" applyAlignment="1"/>
    <xf numFmtId="2" fontId="14" fillId="3" borderId="75" xfId="0" applyNumberFormat="1" applyFont="1" applyFill="1" applyBorder="1" applyAlignment="1"/>
    <xf numFmtId="2" fontId="1" fillId="0" borderId="0" xfId="0" applyNumberFormat="1" applyFont="1" applyAlignment="1">
      <alignment horizontal="left"/>
    </xf>
    <xf numFmtId="2" fontId="7" fillId="2" borderId="75" xfId="0" applyNumberFormat="1" applyFont="1" applyFill="1" applyBorder="1" applyAlignment="1">
      <alignment horizontal="left"/>
    </xf>
    <xf numFmtId="2" fontId="58" fillId="2" borderId="75" xfId="0" applyNumberFormat="1" applyFont="1" applyFill="1" applyBorder="1" applyAlignment="1">
      <alignment horizontal="center"/>
    </xf>
    <xf numFmtId="2" fontId="39" fillId="2" borderId="75" xfId="0" applyNumberFormat="1" applyFont="1" applyFill="1" applyBorder="1" applyAlignment="1">
      <alignment horizontal="right"/>
    </xf>
    <xf numFmtId="2" fontId="39" fillId="0" borderId="0" xfId="0" applyNumberFormat="1" applyFont="1" applyAlignment="1">
      <alignment horizontal="right"/>
    </xf>
    <xf numFmtId="2" fontId="56" fillId="0" borderId="0" xfId="0" applyNumberFormat="1" applyFont="1" applyAlignment="1">
      <alignment horizontal="left"/>
    </xf>
    <xf numFmtId="2" fontId="67" fillId="2" borderId="75" xfId="0" applyNumberFormat="1" applyFont="1" applyFill="1" applyBorder="1" applyAlignment="1"/>
    <xf numFmtId="2" fontId="3" fillId="0" borderId="75" xfId="0" applyNumberFormat="1" applyFont="1" applyBorder="1" applyAlignment="1"/>
    <xf numFmtId="2" fontId="54" fillId="2" borderId="75" xfId="0" applyNumberFormat="1" applyFont="1" applyFill="1" applyBorder="1" applyAlignment="1"/>
    <xf numFmtId="2" fontId="68" fillId="2" borderId="75" xfId="0" applyNumberFormat="1" applyFont="1" applyFill="1" applyBorder="1" applyAlignment="1">
      <alignment horizontal="right"/>
    </xf>
    <xf numFmtId="2" fontId="69" fillId="0" borderId="0" xfId="0" applyNumberFormat="1" applyFont="1" applyAlignment="1">
      <alignment horizontal="right"/>
    </xf>
    <xf numFmtId="2" fontId="7" fillId="3" borderId="75" xfId="0" applyNumberFormat="1" applyFont="1" applyFill="1" applyBorder="1" applyAlignment="1">
      <alignment horizontal="right"/>
    </xf>
    <xf numFmtId="2" fontId="14" fillId="0" borderId="75" xfId="0" applyNumberFormat="1" applyFont="1" applyBorder="1" applyAlignment="1"/>
    <xf numFmtId="2" fontId="125" fillId="0" borderId="75" xfId="0" applyNumberFormat="1" applyFont="1" applyBorder="1" applyAlignment="1">
      <alignment horizontal="left"/>
    </xf>
    <xf numFmtId="2" fontId="70" fillId="0" borderId="0" xfId="0" applyNumberFormat="1" applyFont="1" applyAlignment="1">
      <alignment horizontal="left"/>
    </xf>
    <xf numFmtId="2" fontId="66" fillId="0" borderId="75" xfId="0" applyNumberFormat="1" applyFont="1" applyBorder="1" applyAlignment="1">
      <alignment horizontal="left"/>
    </xf>
    <xf numFmtId="2" fontId="2" fillId="20" borderId="75" xfId="0" applyNumberFormat="1" applyFont="1" applyFill="1" applyBorder="1" applyAlignment="1"/>
    <xf numFmtId="2" fontId="72" fillId="21" borderId="75" xfId="0" applyNumberFormat="1" applyFont="1" applyFill="1" applyBorder="1" applyAlignment="1">
      <alignment horizontal="left"/>
    </xf>
    <xf numFmtId="2" fontId="73" fillId="0" borderId="0" xfId="0" applyNumberFormat="1" applyFont="1" applyAlignment="1"/>
    <xf numFmtId="2" fontId="72" fillId="0" borderId="0" xfId="0" applyNumberFormat="1" applyFont="1" applyAlignment="1">
      <alignment horizontal="left"/>
    </xf>
    <xf numFmtId="2" fontId="72" fillId="21" borderId="75" xfId="0" applyNumberFormat="1" applyFont="1" applyFill="1" applyBorder="1" applyAlignment="1">
      <alignment horizontal="right"/>
    </xf>
    <xf numFmtId="2" fontId="72" fillId="0" borderId="0" xfId="0" applyNumberFormat="1" applyFont="1" applyAlignment="1">
      <alignment horizontal="right"/>
    </xf>
    <xf numFmtId="2" fontId="106" fillId="22" borderId="75" xfId="0" applyNumberFormat="1" applyFont="1" applyFill="1" applyBorder="1" applyAlignment="1"/>
    <xf numFmtId="2" fontId="126" fillId="22" borderId="75" xfId="0" applyNumberFormat="1" applyFont="1" applyFill="1" applyBorder="1" applyAlignment="1">
      <alignment horizontal="left"/>
    </xf>
    <xf numFmtId="2" fontId="72" fillId="22" borderId="75" xfId="0" applyNumberFormat="1" applyFont="1" applyFill="1" applyBorder="1" applyAlignment="1">
      <alignment horizontal="right"/>
    </xf>
    <xf numFmtId="2" fontId="2" fillId="22" borderId="75" xfId="0" applyNumberFormat="1" applyFont="1" applyFill="1" applyBorder="1" applyAlignment="1"/>
    <xf numFmtId="2" fontId="72" fillId="22" borderId="75" xfId="0" applyNumberFormat="1" applyFont="1" applyFill="1" applyBorder="1" applyAlignment="1">
      <alignment horizontal="left"/>
    </xf>
    <xf numFmtId="2" fontId="74" fillId="0" borderId="75" xfId="0" applyNumberFormat="1" applyFont="1" applyBorder="1" applyAlignment="1">
      <alignment horizontal="right"/>
    </xf>
    <xf numFmtId="2" fontId="75" fillId="0" borderId="75" xfId="0" applyNumberFormat="1" applyFont="1" applyBorder="1" applyAlignment="1">
      <alignment horizontal="left"/>
    </xf>
    <xf numFmtId="2" fontId="0" fillId="0" borderId="75" xfId="0" applyNumberFormat="1" applyFont="1" applyBorder="1" applyAlignment="1"/>
    <xf numFmtId="2" fontId="1" fillId="0" borderId="75" xfId="0" applyNumberFormat="1" applyFont="1" applyBorder="1" applyAlignment="1">
      <alignment horizontal="right"/>
    </xf>
    <xf numFmtId="2" fontId="76" fillId="0" borderId="75" xfId="0" applyNumberFormat="1" applyFont="1" applyBorder="1" applyAlignment="1">
      <alignment horizontal="right"/>
    </xf>
    <xf numFmtId="2" fontId="77" fillId="0" borderId="75" xfId="0" applyNumberFormat="1" applyFont="1" applyBorder="1" applyAlignment="1">
      <alignment horizontal="left"/>
    </xf>
    <xf numFmtId="2" fontId="2" fillId="0" borderId="75" xfId="0" applyNumberFormat="1" applyFont="1" applyBorder="1" applyAlignment="1"/>
    <xf numFmtId="2" fontId="35" fillId="0" borderId="0" xfId="0" applyNumberFormat="1" applyFont="1" applyAlignment="1">
      <alignment horizontal="right"/>
    </xf>
    <xf numFmtId="2" fontId="78" fillId="0" borderId="75" xfId="0" applyNumberFormat="1" applyFont="1" applyBorder="1" applyAlignment="1">
      <alignment horizontal="left"/>
    </xf>
    <xf numFmtId="2" fontId="79" fillId="18" borderId="75" xfId="0" applyNumberFormat="1" applyFont="1" applyFill="1" applyBorder="1" applyAlignment="1"/>
    <xf numFmtId="2" fontId="32" fillId="0" borderId="75" xfId="0" applyNumberFormat="1" applyFont="1" applyBorder="1"/>
    <xf numFmtId="2" fontId="80" fillId="18" borderId="75" xfId="0" applyNumberFormat="1" applyFont="1" applyFill="1" applyBorder="1" applyAlignment="1">
      <alignment horizontal="left"/>
    </xf>
    <xf numFmtId="2" fontId="7" fillId="24" borderId="75" xfId="0" applyNumberFormat="1" applyFont="1" applyFill="1" applyBorder="1" applyAlignment="1"/>
    <xf numFmtId="2" fontId="116" fillId="2" borderId="75" xfId="0" applyNumberFormat="1" applyFont="1" applyFill="1" applyBorder="1" applyAlignment="1">
      <alignment horizontal="center"/>
    </xf>
    <xf numFmtId="2" fontId="6" fillId="0" borderId="0" xfId="0" applyNumberFormat="1" applyFont="1" applyAlignment="1"/>
    <xf numFmtId="2" fontId="81" fillId="0" borderId="0" xfId="0" applyNumberFormat="1" applyFont="1" applyAlignment="1"/>
    <xf numFmtId="2" fontId="82" fillId="0" borderId="0" xfId="0" applyNumberFormat="1" applyFont="1" applyAlignment="1"/>
    <xf numFmtId="2" fontId="83" fillId="13" borderId="0" xfId="0" applyNumberFormat="1" applyFont="1" applyFill="1" applyAlignment="1"/>
    <xf numFmtId="2" fontId="7" fillId="26" borderId="0" xfId="0" applyNumberFormat="1" applyFont="1" applyFill="1" applyAlignment="1"/>
    <xf numFmtId="2" fontId="84" fillId="0" borderId="0" xfId="0" applyNumberFormat="1" applyFont="1" applyAlignment="1"/>
    <xf numFmtId="2" fontId="0" fillId="24" borderId="0" xfId="0" applyNumberFormat="1" applyFont="1" applyFill="1" applyAlignment="1"/>
    <xf numFmtId="2" fontId="5" fillId="0" borderId="0" xfId="0" applyNumberFormat="1" applyFont="1" applyBorder="1" applyAlignment="1">
      <alignment horizontal="center"/>
    </xf>
    <xf numFmtId="2" fontId="5" fillId="24" borderId="0" xfId="0" applyNumberFormat="1" applyFont="1" applyFill="1" applyBorder="1" applyAlignment="1">
      <alignment horizontal="center"/>
    </xf>
    <xf numFmtId="2" fontId="85" fillId="0" borderId="27" xfId="0" applyNumberFormat="1" applyFont="1" applyBorder="1" applyAlignment="1"/>
    <xf numFmtId="2" fontId="32" fillId="0" borderId="16" xfId="0" applyNumberFormat="1" applyFont="1" applyBorder="1"/>
    <xf numFmtId="2" fontId="14" fillId="0" borderId="0" xfId="0" applyNumberFormat="1" applyFont="1" applyBorder="1" applyAlignment="1">
      <alignment horizontal="center"/>
    </xf>
    <xf numFmtId="2" fontId="14" fillId="24" borderId="0" xfId="0" applyNumberFormat="1" applyFont="1" applyFill="1" applyBorder="1" applyAlignment="1">
      <alignment horizontal="center"/>
    </xf>
    <xf numFmtId="2" fontId="86" fillId="0" borderId="0" xfId="0" applyNumberFormat="1" applyFont="1" applyAlignment="1"/>
    <xf numFmtId="2" fontId="85" fillId="0" borderId="0" xfId="0" applyNumberFormat="1" applyFont="1" applyAlignment="1"/>
    <xf numFmtId="2" fontId="87" fillId="0" borderId="0" xfId="0" applyNumberFormat="1" applyFont="1" applyAlignment="1"/>
    <xf numFmtId="2" fontId="107" fillId="0" borderId="0" xfId="0" applyNumberFormat="1" applyFont="1" applyAlignment="1">
      <alignment horizontal="center"/>
    </xf>
    <xf numFmtId="2" fontId="107" fillId="24" borderId="0" xfId="0" applyNumberFormat="1" applyFont="1" applyFill="1" applyAlignment="1">
      <alignment horizontal="center"/>
    </xf>
    <xf numFmtId="2" fontId="112" fillId="0" borderId="0" xfId="0" applyNumberFormat="1" applyFont="1" applyAlignment="1"/>
    <xf numFmtId="2" fontId="48" fillId="0" borderId="1" xfId="0" applyNumberFormat="1" applyFont="1" applyBorder="1" applyAlignment="1">
      <alignment horizontal="right"/>
    </xf>
    <xf numFmtId="2" fontId="48" fillId="0" borderId="0" xfId="0" applyNumberFormat="1" applyFont="1" applyBorder="1" applyAlignment="1">
      <alignment horizontal="right"/>
    </xf>
    <xf numFmtId="2" fontId="48" fillId="24" borderId="0" xfId="0" applyNumberFormat="1" applyFont="1" applyFill="1" applyBorder="1" applyAlignment="1">
      <alignment horizontal="right"/>
    </xf>
    <xf numFmtId="2" fontId="88" fillId="0" borderId="0" xfId="0" applyNumberFormat="1" applyFont="1" applyAlignment="1"/>
    <xf numFmtId="2" fontId="48" fillId="24" borderId="0" xfId="0" applyNumberFormat="1" applyFont="1" applyFill="1" applyAlignment="1"/>
    <xf numFmtId="2" fontId="7" fillId="10" borderId="0" xfId="0" applyNumberFormat="1" applyFont="1" applyFill="1" applyAlignment="1"/>
    <xf numFmtId="2" fontId="7" fillId="27" borderId="0" xfId="0" applyNumberFormat="1" applyFont="1" applyFill="1" applyAlignment="1"/>
    <xf numFmtId="2" fontId="1" fillId="0" borderId="53" xfId="0" applyNumberFormat="1" applyFont="1" applyBorder="1" applyAlignment="1"/>
    <xf numFmtId="2" fontId="1" fillId="0" borderId="17" xfId="0" applyNumberFormat="1" applyFont="1" applyBorder="1" applyAlignment="1"/>
    <xf numFmtId="2" fontId="1" fillId="0" borderId="16" xfId="0" applyNumberFormat="1" applyFont="1" applyBorder="1" applyAlignment="1"/>
    <xf numFmtId="2" fontId="1" fillId="24" borderId="16" xfId="0" applyNumberFormat="1" applyFont="1" applyFill="1" applyBorder="1" applyAlignment="1"/>
    <xf numFmtId="2" fontId="105" fillId="2" borderId="65" xfId="0" applyNumberFormat="1" applyFont="1" applyFill="1" applyBorder="1" applyAlignment="1">
      <alignment horizontal="right"/>
    </xf>
    <xf numFmtId="2" fontId="105" fillId="2" borderId="65" xfId="0" applyNumberFormat="1" applyFont="1" applyFill="1" applyBorder="1" applyAlignment="1"/>
    <xf numFmtId="2" fontId="105" fillId="5" borderId="65" xfId="0" applyNumberFormat="1" applyFont="1" applyFill="1" applyBorder="1" applyAlignment="1">
      <alignment horizontal="left"/>
    </xf>
    <xf numFmtId="2" fontId="105" fillId="5" borderId="66" xfId="0" applyNumberFormat="1" applyFont="1" applyFill="1" applyBorder="1" applyAlignment="1">
      <alignment horizontal="left"/>
    </xf>
    <xf numFmtId="2" fontId="105" fillId="2" borderId="65" xfId="0" applyNumberFormat="1" applyFont="1" applyFill="1" applyBorder="1" applyAlignment="1">
      <alignment horizontal="left"/>
    </xf>
    <xf numFmtId="2" fontId="105" fillId="2" borderId="66" xfId="0" applyNumberFormat="1" applyFont="1" applyFill="1" applyBorder="1" applyAlignment="1">
      <alignment horizontal="left"/>
    </xf>
    <xf numFmtId="2" fontId="108" fillId="2" borderId="65" xfId="0" applyNumberFormat="1" applyFont="1" applyFill="1" applyBorder="1" applyAlignment="1">
      <alignment horizontal="right"/>
    </xf>
    <xf numFmtId="2" fontId="105" fillId="5" borderId="65" xfId="0" applyNumberFormat="1" applyFont="1" applyFill="1" applyBorder="1" applyAlignment="1"/>
    <xf numFmtId="2" fontId="130" fillId="7" borderId="65" xfId="0" applyNumberFormat="1" applyFont="1" applyFill="1" applyBorder="1" applyAlignment="1"/>
    <xf numFmtId="2" fontId="106" fillId="5" borderId="65" xfId="0" applyNumberFormat="1" applyFont="1" applyFill="1" applyBorder="1" applyAlignment="1"/>
    <xf numFmtId="2" fontId="106" fillId="5" borderId="65" xfId="0" applyNumberFormat="1" applyFont="1" applyFill="1" applyBorder="1" applyAlignment="1">
      <alignment horizontal="left"/>
    </xf>
    <xf numFmtId="2" fontId="110" fillId="2" borderId="65" xfId="0" applyNumberFormat="1" applyFont="1" applyFill="1" applyBorder="1" applyAlignment="1">
      <alignment horizontal="right"/>
    </xf>
    <xf numFmtId="2" fontId="106" fillId="2" borderId="65" xfId="0" applyNumberFormat="1" applyFont="1" applyFill="1" applyBorder="1" applyAlignment="1"/>
    <xf numFmtId="2" fontId="106" fillId="2" borderId="65" xfId="0" applyNumberFormat="1" applyFont="1" applyFill="1" applyBorder="1" applyAlignment="1">
      <alignment horizontal="left"/>
    </xf>
    <xf numFmtId="2" fontId="110" fillId="5" borderId="65" xfId="0" applyNumberFormat="1" applyFont="1" applyFill="1" applyBorder="1" applyAlignment="1">
      <alignment horizontal="left"/>
    </xf>
    <xf numFmtId="2" fontId="105" fillId="5" borderId="66" xfId="0" applyNumberFormat="1" applyFont="1" applyFill="1" applyBorder="1" applyAlignment="1">
      <alignment horizontal="right"/>
    </xf>
    <xf numFmtId="2" fontId="105" fillId="2" borderId="66" xfId="0" applyNumberFormat="1" applyFont="1" applyFill="1" applyBorder="1" applyAlignment="1">
      <alignment horizontal="right"/>
    </xf>
    <xf numFmtId="2" fontId="105" fillId="2" borderId="68" xfId="0" applyNumberFormat="1" applyFont="1" applyFill="1" applyBorder="1" applyAlignment="1"/>
    <xf numFmtId="2" fontId="105" fillId="2" borderId="68" xfId="0" applyNumberFormat="1" applyFont="1" applyFill="1" applyBorder="1" applyAlignment="1">
      <alignment horizontal="left"/>
    </xf>
    <xf numFmtId="2" fontId="105" fillId="2" borderId="31" xfId="0" applyNumberFormat="1" applyFont="1" applyFill="1" applyBorder="1" applyAlignment="1">
      <alignment horizontal="right"/>
    </xf>
    <xf numFmtId="2" fontId="1" fillId="0" borderId="31" xfId="0" applyNumberFormat="1" applyFont="1" applyBorder="1" applyAlignment="1"/>
    <xf numFmtId="2" fontId="2" fillId="0" borderId="31" xfId="0" applyNumberFormat="1" applyFont="1" applyBorder="1" applyAlignment="1">
      <alignment horizontal="left"/>
    </xf>
    <xf numFmtId="2" fontId="7" fillId="0" borderId="31" xfId="0" applyNumberFormat="1" applyFont="1" applyBorder="1" applyAlignment="1">
      <alignment horizontal="left"/>
    </xf>
    <xf numFmtId="2" fontId="106" fillId="0" borderId="31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2" fontId="14" fillId="0" borderId="16" xfId="0" applyNumberFormat="1" applyFont="1" applyBorder="1" applyAlignment="1"/>
    <xf numFmtId="2" fontId="106" fillId="0" borderId="31" xfId="0" applyNumberFormat="1" applyFont="1" applyBorder="1" applyAlignment="1">
      <alignment horizontal="left"/>
    </xf>
    <xf numFmtId="2" fontId="14" fillId="24" borderId="0" xfId="0" applyNumberFormat="1" applyFont="1" applyFill="1" applyBorder="1" applyAlignment="1"/>
    <xf numFmtId="2" fontId="14" fillId="24" borderId="0" xfId="0" applyNumberFormat="1" applyFont="1" applyFill="1" applyAlignment="1"/>
    <xf numFmtId="2" fontId="79" fillId="0" borderId="0" xfId="0" applyNumberFormat="1" applyFont="1" applyAlignment="1"/>
    <xf numFmtId="2" fontId="79" fillId="24" borderId="0" xfId="0" applyNumberFormat="1" applyFont="1" applyFill="1" applyAlignment="1"/>
    <xf numFmtId="2" fontId="107" fillId="0" borderId="31" xfId="0" applyNumberFormat="1" applyFont="1" applyBorder="1" applyAlignment="1">
      <alignment horizontal="left"/>
    </xf>
    <xf numFmtId="2" fontId="7" fillId="33" borderId="47" xfId="0" applyNumberFormat="1" applyFont="1" applyFill="1" applyBorder="1" applyAlignment="1">
      <alignment horizontal="left"/>
    </xf>
    <xf numFmtId="2" fontId="7" fillId="33" borderId="48" xfId="0" applyNumberFormat="1" applyFont="1" applyFill="1" applyBorder="1" applyAlignment="1">
      <alignment horizontal="left"/>
    </xf>
    <xf numFmtId="2" fontId="1" fillId="33" borderId="48" xfId="0" applyNumberFormat="1" applyFont="1" applyFill="1" applyBorder="1" applyAlignment="1">
      <alignment horizontal="left"/>
    </xf>
    <xf numFmtId="2" fontId="106" fillId="5" borderId="47" xfId="0" applyNumberFormat="1" applyFont="1" applyFill="1" applyBorder="1" applyAlignment="1">
      <alignment horizontal="left"/>
    </xf>
    <xf numFmtId="2" fontId="7" fillId="33" borderId="49" xfId="0" applyNumberFormat="1" applyFont="1" applyFill="1" applyBorder="1" applyAlignment="1">
      <alignment horizontal="left"/>
    </xf>
    <xf numFmtId="2" fontId="2" fillId="33" borderId="50" xfId="0" applyNumberFormat="1" applyFont="1" applyFill="1" applyBorder="1" applyAlignment="1">
      <alignment horizontal="left"/>
    </xf>
    <xf numFmtId="2" fontId="89" fillId="15" borderId="0" xfId="0" applyNumberFormat="1" applyFont="1" applyFill="1" applyAlignment="1"/>
    <xf numFmtId="2" fontId="89" fillId="28" borderId="0" xfId="0" applyNumberFormat="1" applyFont="1" applyFill="1" applyAlignment="1"/>
    <xf numFmtId="2" fontId="2" fillId="2" borderId="75" xfId="0" applyNumberFormat="1" applyFont="1" applyFill="1" applyBorder="1" applyAlignment="1">
      <alignment horizontal="right"/>
    </xf>
    <xf numFmtId="2" fontId="7" fillId="25" borderId="75" xfId="0" applyNumberFormat="1" applyFont="1" applyFill="1" applyBorder="1" applyAlignment="1"/>
    <xf numFmtId="2" fontId="7" fillId="25" borderId="75" xfId="0" applyNumberFormat="1" applyFont="1" applyFill="1" applyBorder="1" applyAlignment="1">
      <alignment horizontal="left"/>
    </xf>
    <xf numFmtId="2" fontId="9" fillId="2" borderId="75" xfId="0" applyNumberFormat="1" applyFont="1" applyFill="1" applyBorder="1" applyAlignment="1">
      <alignment horizontal="right"/>
    </xf>
    <xf numFmtId="2" fontId="4" fillId="19" borderId="75" xfId="0" applyNumberFormat="1" applyFont="1" applyFill="1" applyBorder="1" applyAlignment="1">
      <alignment horizontal="right"/>
    </xf>
    <xf numFmtId="2" fontId="57" fillId="7" borderId="75" xfId="0" applyNumberFormat="1" applyFont="1" applyFill="1" applyBorder="1" applyAlignment="1"/>
    <xf numFmtId="2" fontId="2" fillId="19" borderId="75" xfId="0" applyNumberFormat="1" applyFont="1" applyFill="1" applyBorder="1" applyAlignment="1">
      <alignment horizontal="right"/>
    </xf>
    <xf numFmtId="2" fontId="57" fillId="29" borderId="75" xfId="0" applyNumberFormat="1" applyFont="1" applyFill="1" applyBorder="1" applyAlignment="1"/>
    <xf numFmtId="2" fontId="5" fillId="0" borderId="75" xfId="0" applyNumberFormat="1" applyFont="1" applyBorder="1" applyAlignment="1"/>
    <xf numFmtId="2" fontId="2" fillId="0" borderId="75" xfId="0" applyNumberFormat="1" applyFont="1" applyBorder="1" applyAlignment="1">
      <alignment horizontal="right"/>
    </xf>
    <xf numFmtId="2" fontId="2" fillId="24" borderId="75" xfId="0" applyNumberFormat="1" applyFont="1" applyFill="1" applyBorder="1" applyAlignment="1"/>
    <xf numFmtId="2" fontId="110" fillId="19" borderId="75" xfId="0" applyNumberFormat="1" applyFont="1" applyFill="1" applyBorder="1" applyAlignment="1">
      <alignment horizontal="right"/>
    </xf>
    <xf numFmtId="2" fontId="114" fillId="0" borderId="75" xfId="0" applyNumberFormat="1" applyFont="1" applyBorder="1" applyAlignment="1"/>
    <xf numFmtId="2" fontId="114" fillId="24" borderId="75" xfId="0" applyNumberFormat="1" applyFont="1" applyFill="1" applyBorder="1" applyAlignment="1"/>
    <xf numFmtId="2" fontId="14" fillId="0" borderId="75" xfId="0" applyNumberFormat="1" applyFont="1" applyBorder="1" applyAlignment="1">
      <alignment horizontal="right"/>
    </xf>
    <xf numFmtId="2" fontId="65" fillId="2" borderId="75" xfId="0" applyNumberFormat="1" applyFont="1" applyFill="1" applyBorder="1" applyAlignment="1">
      <alignment horizontal="left"/>
    </xf>
    <xf numFmtId="2" fontId="14" fillId="25" borderId="75" xfId="0" applyNumberFormat="1" applyFont="1" applyFill="1" applyBorder="1" applyAlignment="1"/>
    <xf numFmtId="2" fontId="7" fillId="24" borderId="75" xfId="0" applyNumberFormat="1" applyFont="1" applyFill="1" applyBorder="1" applyAlignment="1">
      <alignment horizontal="left"/>
    </xf>
    <xf numFmtId="2" fontId="14" fillId="24" borderId="75" xfId="0" applyNumberFormat="1" applyFont="1" applyFill="1" applyBorder="1" applyAlignment="1"/>
    <xf numFmtId="2" fontId="111" fillId="0" borderId="75" xfId="0" applyNumberFormat="1" applyFont="1" applyBorder="1" applyAlignment="1">
      <alignment horizontal="center"/>
    </xf>
    <xf numFmtId="2" fontId="90" fillId="0" borderId="0" xfId="0" applyNumberFormat="1" applyFont="1" applyAlignment="1">
      <alignment horizontal="center"/>
    </xf>
    <xf numFmtId="2" fontId="90" fillId="0" borderId="75" xfId="0" applyNumberFormat="1" applyFont="1" applyBorder="1" applyAlignment="1">
      <alignment horizontal="center"/>
    </xf>
    <xf numFmtId="2" fontId="79" fillId="0" borderId="75" xfId="0" applyNumberFormat="1" applyFont="1" applyBorder="1" applyAlignment="1"/>
    <xf numFmtId="2" fontId="79" fillId="24" borderId="75" xfId="0" applyNumberFormat="1" applyFont="1" applyFill="1" applyBorder="1" applyAlignment="1"/>
    <xf numFmtId="2" fontId="91" fillId="0" borderId="0" xfId="0" applyNumberFormat="1" applyFont="1" applyAlignment="1"/>
    <xf numFmtId="2" fontId="72" fillId="0" borderId="75" xfId="0" applyNumberFormat="1" applyFont="1" applyBorder="1" applyAlignment="1">
      <alignment horizontal="right"/>
    </xf>
    <xf numFmtId="2" fontId="92" fillId="18" borderId="75" xfId="0" applyNumberFormat="1" applyFont="1" applyFill="1" applyBorder="1" applyAlignment="1">
      <alignment horizontal="left"/>
    </xf>
    <xf numFmtId="2" fontId="120" fillId="0" borderId="0" xfId="0" applyNumberFormat="1" applyFont="1" applyAlignment="1"/>
    <xf numFmtId="2" fontId="120" fillId="24" borderId="0" xfId="0" applyNumberFormat="1" applyFont="1" applyFill="1" applyAlignment="1"/>
    <xf numFmtId="2" fontId="118" fillId="0" borderId="0" xfId="0" applyNumberFormat="1" applyFont="1" applyAlignment="1"/>
    <xf numFmtId="2" fontId="121" fillId="0" borderId="0" xfId="0" applyNumberFormat="1" applyFont="1" applyAlignment="1"/>
    <xf numFmtId="2" fontId="122" fillId="0" borderId="0" xfId="0" applyNumberFormat="1" applyFont="1" applyAlignment="1"/>
    <xf numFmtId="2" fontId="37" fillId="18" borderId="27" xfId="0" applyNumberFormat="1" applyFont="1" applyFill="1" applyBorder="1" applyAlignment="1"/>
    <xf numFmtId="2" fontId="14" fillId="18" borderId="0" xfId="0" applyNumberFormat="1" applyFont="1" applyFill="1" applyAlignment="1">
      <alignment horizontal="center"/>
    </xf>
    <xf numFmtId="2" fontId="14" fillId="30" borderId="0" xfId="0" applyNumberFormat="1" applyFont="1" applyFill="1" applyAlignment="1">
      <alignment horizontal="center"/>
    </xf>
    <xf numFmtId="2" fontId="93" fillId="0" borderId="0" xfId="0" applyNumberFormat="1" applyFont="1" applyAlignment="1"/>
    <xf numFmtId="2" fontId="5" fillId="18" borderId="0" xfId="0" applyNumberFormat="1" applyFont="1" applyFill="1" applyBorder="1" applyAlignment="1">
      <alignment horizontal="center"/>
    </xf>
    <xf numFmtId="2" fontId="5" fillId="30" borderId="0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25" fillId="12" borderId="0" xfId="0" applyNumberFormat="1" applyFont="1" applyFill="1" applyAlignment="1"/>
    <xf numFmtId="2" fontId="47" fillId="10" borderId="0" xfId="0" applyNumberFormat="1" applyFont="1" applyFill="1" applyAlignment="1"/>
    <xf numFmtId="2" fontId="25" fillId="10" borderId="0" xfId="0" applyNumberFormat="1" applyFont="1" applyFill="1" applyAlignment="1"/>
    <xf numFmtId="2" fontId="25" fillId="27" borderId="0" xfId="0" applyNumberFormat="1" applyFont="1" applyFill="1" applyAlignment="1"/>
    <xf numFmtId="2" fontId="105" fillId="24" borderId="66" xfId="0" applyNumberFormat="1" applyFont="1" applyFill="1" applyBorder="1" applyAlignment="1"/>
    <xf numFmtId="2" fontId="105" fillId="25" borderId="66" xfId="0" applyNumberFormat="1" applyFont="1" applyFill="1" applyBorder="1" applyAlignment="1"/>
    <xf numFmtId="2" fontId="130" fillId="29" borderId="66" xfId="0" applyNumberFormat="1" applyFont="1" applyFill="1" applyBorder="1" applyAlignment="1"/>
    <xf numFmtId="2" fontId="108" fillId="25" borderId="66" xfId="0" applyNumberFormat="1" applyFont="1" applyFill="1" applyBorder="1" applyAlignment="1">
      <alignment horizontal="right"/>
    </xf>
    <xf numFmtId="2" fontId="109" fillId="2" borderId="65" xfId="0" applyNumberFormat="1" applyFont="1" applyFill="1" applyBorder="1" applyAlignment="1"/>
    <xf numFmtId="2" fontId="108" fillId="5" borderId="65" xfId="0" applyNumberFormat="1" applyFont="1" applyFill="1" applyBorder="1" applyAlignment="1"/>
    <xf numFmtId="2" fontId="108" fillId="24" borderId="66" xfId="0" applyNumberFormat="1" applyFont="1" applyFill="1" applyBorder="1" applyAlignment="1"/>
    <xf numFmtId="2" fontId="105" fillId="24" borderId="66" xfId="0" applyNumberFormat="1" applyFont="1" applyFill="1" applyBorder="1" applyAlignment="1">
      <alignment horizontal="left"/>
    </xf>
    <xf numFmtId="2" fontId="105" fillId="25" borderId="66" xfId="0" applyNumberFormat="1" applyFont="1" applyFill="1" applyBorder="1" applyAlignment="1">
      <alignment horizontal="left"/>
    </xf>
    <xf numFmtId="2" fontId="107" fillId="2" borderId="68" xfId="0" applyNumberFormat="1" applyFont="1" applyFill="1" applyBorder="1" applyAlignment="1"/>
    <xf numFmtId="2" fontId="108" fillId="2" borderId="68" xfId="0" applyNumberFormat="1" applyFont="1" applyFill="1" applyBorder="1" applyAlignment="1"/>
    <xf numFmtId="2" fontId="108" fillId="25" borderId="31" xfId="0" applyNumberFormat="1" applyFont="1" applyFill="1" applyBorder="1" applyAlignment="1"/>
    <xf numFmtId="2" fontId="7" fillId="0" borderId="31" xfId="0" applyNumberFormat="1" applyFont="1" applyBorder="1" applyAlignment="1"/>
    <xf numFmtId="2" fontId="7" fillId="24" borderId="31" xfId="0" applyNumberFormat="1" applyFont="1" applyFill="1" applyBorder="1" applyAlignment="1"/>
    <xf numFmtId="2" fontId="7" fillId="16" borderId="34" xfId="0" applyNumberFormat="1" applyFont="1" applyFill="1" applyBorder="1" applyAlignment="1">
      <alignment horizontal="left"/>
    </xf>
    <xf numFmtId="2" fontId="7" fillId="16" borderId="36" xfId="0" applyNumberFormat="1" applyFont="1" applyFill="1" applyBorder="1" applyAlignment="1">
      <alignment horizontal="left"/>
    </xf>
    <xf numFmtId="2" fontId="7" fillId="17" borderId="38" xfId="0" applyNumberFormat="1" applyFont="1" applyFill="1" applyBorder="1" applyAlignment="1">
      <alignment horizontal="left"/>
    </xf>
    <xf numFmtId="2" fontId="7" fillId="17" borderId="40" xfId="0" applyNumberFormat="1" applyFont="1" applyFill="1" applyBorder="1" applyAlignment="1">
      <alignment horizontal="left"/>
    </xf>
    <xf numFmtId="2" fontId="7" fillId="18" borderId="42" xfId="0" applyNumberFormat="1" applyFont="1" applyFill="1" applyBorder="1" applyAlignment="1">
      <alignment horizontal="left"/>
    </xf>
    <xf numFmtId="2" fontId="7" fillId="18" borderId="44" xfId="0" applyNumberFormat="1" applyFont="1" applyFill="1" applyBorder="1" applyAlignment="1">
      <alignment horizontal="left"/>
    </xf>
    <xf numFmtId="2" fontId="105" fillId="5" borderId="69" xfId="0" applyNumberFormat="1" applyFont="1" applyFill="1" applyBorder="1" applyAlignment="1">
      <alignment horizontal="left"/>
    </xf>
    <xf numFmtId="2" fontId="105" fillId="5" borderId="70" xfId="0" applyNumberFormat="1" applyFont="1" applyFill="1" applyBorder="1" applyAlignment="1">
      <alignment horizontal="left"/>
    </xf>
    <xf numFmtId="2" fontId="105" fillId="2" borderId="71" xfId="0" applyNumberFormat="1" applyFont="1" applyFill="1" applyBorder="1" applyAlignment="1">
      <alignment horizontal="left"/>
    </xf>
    <xf numFmtId="2" fontId="105" fillId="2" borderId="72" xfId="0" applyNumberFormat="1" applyFont="1" applyFill="1" applyBorder="1" applyAlignment="1">
      <alignment horizontal="left"/>
    </xf>
    <xf numFmtId="2" fontId="105" fillId="5" borderId="71" xfId="0" applyNumberFormat="1" applyFont="1" applyFill="1" applyBorder="1" applyAlignment="1">
      <alignment horizontal="left"/>
    </xf>
    <xf numFmtId="2" fontId="105" fillId="5" borderId="72" xfId="0" applyNumberFormat="1" applyFont="1" applyFill="1" applyBorder="1" applyAlignment="1">
      <alignment horizontal="left"/>
    </xf>
    <xf numFmtId="2" fontId="107" fillId="2" borderId="72" xfId="0" applyNumberFormat="1" applyFont="1" applyFill="1" applyBorder="1" applyAlignment="1">
      <alignment horizontal="left"/>
    </xf>
    <xf numFmtId="2" fontId="106" fillId="5" borderId="71" xfId="0" applyNumberFormat="1" applyFont="1" applyFill="1" applyBorder="1" applyAlignment="1">
      <alignment horizontal="left"/>
    </xf>
    <xf numFmtId="2" fontId="106" fillId="5" borderId="72" xfId="0" applyNumberFormat="1" applyFont="1" applyFill="1" applyBorder="1" applyAlignment="1">
      <alignment horizontal="left"/>
    </xf>
    <xf numFmtId="2" fontId="106" fillId="24" borderId="0" xfId="0" applyNumberFormat="1" applyFont="1" applyFill="1" applyAlignment="1"/>
    <xf numFmtId="2" fontId="105" fillId="2" borderId="73" xfId="0" applyNumberFormat="1" applyFont="1" applyFill="1" applyBorder="1" applyAlignment="1">
      <alignment horizontal="left"/>
    </xf>
    <xf numFmtId="2" fontId="106" fillId="2" borderId="74" xfId="0" applyNumberFormat="1" applyFont="1" applyFill="1" applyBorder="1" applyAlignment="1">
      <alignment horizontal="left"/>
    </xf>
    <xf numFmtId="2" fontId="124" fillId="0" borderId="0" xfId="0" applyNumberFormat="1" applyFont="1" applyAlignment="1"/>
    <xf numFmtId="2" fontId="124" fillId="0" borderId="0" xfId="0" applyNumberFormat="1" applyFont="1" applyAlignment="1">
      <alignment horizontal="right"/>
    </xf>
    <xf numFmtId="2" fontId="124" fillId="24" borderId="0" xfId="0" applyNumberFormat="1" applyFont="1" applyFill="1" applyAlignment="1">
      <alignment horizontal="right"/>
    </xf>
    <xf numFmtId="2" fontId="1" fillId="0" borderId="76" xfId="0" applyNumberFormat="1" applyFont="1" applyBorder="1" applyAlignment="1"/>
    <xf numFmtId="2" fontId="1" fillId="24" borderId="76" xfId="0" applyNumberFormat="1" applyFont="1" applyFill="1" applyBorder="1" applyAlignment="1"/>
    <xf numFmtId="2" fontId="7" fillId="0" borderId="76" xfId="0" applyNumberFormat="1" applyFont="1" applyBorder="1" applyAlignment="1">
      <alignment horizontal="right"/>
    </xf>
    <xf numFmtId="2" fontId="2" fillId="0" borderId="76" xfId="0" applyNumberFormat="1" applyFont="1" applyBorder="1" applyAlignment="1">
      <alignment horizontal="right"/>
    </xf>
    <xf numFmtId="2" fontId="7" fillId="0" borderId="76" xfId="0" applyNumberFormat="1" applyFont="1" applyBorder="1" applyAlignment="1"/>
    <xf numFmtId="2" fontId="7" fillId="0" borderId="76" xfId="0" applyNumberFormat="1" applyFont="1" applyBorder="1" applyAlignment="1">
      <alignment horizontal="left"/>
    </xf>
    <xf numFmtId="2" fontId="7" fillId="24" borderId="76" xfId="0" applyNumberFormat="1" applyFont="1" applyFill="1" applyBorder="1" applyAlignment="1"/>
    <xf numFmtId="2" fontId="7" fillId="2" borderId="76" xfId="0" applyNumberFormat="1" applyFont="1" applyFill="1" applyBorder="1" applyAlignment="1">
      <alignment horizontal="right"/>
    </xf>
    <xf numFmtId="2" fontId="7" fillId="2" borderId="76" xfId="0" applyNumberFormat="1" applyFont="1" applyFill="1" applyBorder="1" applyAlignment="1"/>
    <xf numFmtId="2" fontId="7" fillId="2" borderId="76" xfId="0" applyNumberFormat="1" applyFont="1" applyFill="1" applyBorder="1" applyAlignment="1">
      <alignment horizontal="left"/>
    </xf>
    <xf numFmtId="2" fontId="7" fillId="25" borderId="76" xfId="0" applyNumberFormat="1" applyFont="1" applyFill="1" applyBorder="1" applyAlignment="1"/>
    <xf numFmtId="2" fontId="14" fillId="0" borderId="76" xfId="0" applyNumberFormat="1" applyFont="1" applyBorder="1" applyAlignment="1">
      <alignment horizontal="right"/>
    </xf>
    <xf numFmtId="2" fontId="14" fillId="0" borderId="76" xfId="0" applyNumberFormat="1" applyFont="1" applyBorder="1" applyAlignment="1"/>
    <xf numFmtId="2" fontId="63" fillId="0" borderId="76" xfId="0" applyNumberFormat="1" applyFont="1" applyBorder="1" applyAlignment="1">
      <alignment horizontal="left"/>
    </xf>
    <xf numFmtId="2" fontId="109" fillId="19" borderId="76" xfId="0" applyNumberFormat="1" applyFont="1" applyFill="1" applyBorder="1" applyAlignment="1">
      <alignment horizontal="right"/>
    </xf>
    <xf numFmtId="2" fontId="57" fillId="7" borderId="76" xfId="0" applyNumberFormat="1" applyFont="1" applyFill="1" applyBorder="1" applyAlignment="1"/>
    <xf numFmtId="2" fontId="7" fillId="19" borderId="76" xfId="0" applyNumberFormat="1" applyFont="1" applyFill="1" applyBorder="1" applyAlignment="1">
      <alignment horizontal="left"/>
    </xf>
    <xf numFmtId="2" fontId="2" fillId="0" borderId="76" xfId="0" applyNumberFormat="1" applyFont="1" applyBorder="1" applyAlignment="1"/>
    <xf numFmtId="2" fontId="57" fillId="29" borderId="76" xfId="0" applyNumberFormat="1" applyFont="1" applyFill="1" applyBorder="1" applyAlignment="1"/>
    <xf numFmtId="2" fontId="5" fillId="19" borderId="76" xfId="0" applyNumberFormat="1" applyFont="1" applyFill="1" applyBorder="1" applyAlignment="1"/>
    <xf numFmtId="2" fontId="1" fillId="2" borderId="76" xfId="0" applyNumberFormat="1" applyFont="1" applyFill="1" applyBorder="1" applyAlignment="1">
      <alignment horizontal="right"/>
    </xf>
    <xf numFmtId="2" fontId="2" fillId="0" borderId="76" xfId="0" applyNumberFormat="1" applyFont="1" applyBorder="1" applyAlignment="1">
      <alignment horizontal="center"/>
    </xf>
    <xf numFmtId="2" fontId="1" fillId="25" borderId="76" xfId="0" applyNumberFormat="1" applyFont="1" applyFill="1" applyBorder="1" applyAlignment="1">
      <alignment horizontal="right"/>
    </xf>
    <xf numFmtId="2" fontId="5" fillId="19" borderId="76" xfId="0" applyNumberFormat="1" applyFont="1" applyFill="1" applyBorder="1" applyAlignment="1">
      <alignment horizontal="right"/>
    </xf>
    <xf numFmtId="2" fontId="3" fillId="2" borderId="76" xfId="0" applyNumberFormat="1" applyFont="1" applyFill="1" applyBorder="1" applyAlignment="1"/>
    <xf numFmtId="2" fontId="14" fillId="2" borderId="76" xfId="0" applyNumberFormat="1" applyFont="1" applyFill="1" applyBorder="1" applyAlignment="1">
      <alignment horizontal="right"/>
    </xf>
    <xf numFmtId="2" fontId="3" fillId="2" borderId="76" xfId="0" applyNumberFormat="1" applyFont="1" applyFill="1" applyBorder="1" applyAlignment="1">
      <alignment horizontal="right"/>
    </xf>
    <xf numFmtId="2" fontId="0" fillId="0" borderId="76" xfId="0" applyNumberFormat="1" applyFont="1" applyBorder="1" applyAlignment="1"/>
    <xf numFmtId="2" fontId="95" fillId="0" borderId="76" xfId="0" applyNumberFormat="1" applyFont="1" applyBorder="1" applyAlignment="1">
      <alignment horizontal="left"/>
    </xf>
    <xf numFmtId="2" fontId="14" fillId="24" borderId="76" xfId="0" applyNumberFormat="1" applyFont="1" applyFill="1" applyBorder="1" applyAlignment="1"/>
    <xf numFmtId="2" fontId="1" fillId="2" borderId="76" xfId="0" applyNumberFormat="1" applyFont="1" applyFill="1" applyBorder="1" applyAlignment="1"/>
    <xf numFmtId="2" fontId="7" fillId="24" borderId="76" xfId="0" applyNumberFormat="1" applyFont="1" applyFill="1" applyBorder="1" applyAlignment="1">
      <alignment horizontal="left"/>
    </xf>
    <xf numFmtId="2" fontId="7" fillId="25" borderId="76" xfId="0" applyNumberFormat="1" applyFont="1" applyFill="1" applyBorder="1" applyAlignment="1">
      <alignment horizontal="left"/>
    </xf>
    <xf numFmtId="2" fontId="7" fillId="0" borderId="76" xfId="0" applyNumberFormat="1" applyFont="1" applyBorder="1" applyAlignment="1">
      <alignment horizontal="center"/>
    </xf>
    <xf numFmtId="2" fontId="14" fillId="2" borderId="76" xfId="0" applyNumberFormat="1" applyFont="1" applyFill="1" applyBorder="1" applyAlignment="1"/>
    <xf numFmtId="2" fontId="14" fillId="25" borderId="76" xfId="0" applyNumberFormat="1" applyFont="1" applyFill="1" applyBorder="1" applyAlignment="1"/>
    <xf numFmtId="2" fontId="111" fillId="0" borderId="76" xfId="0" applyNumberFormat="1" applyFont="1" applyBorder="1" applyAlignment="1">
      <alignment horizontal="center"/>
    </xf>
    <xf numFmtId="2" fontId="90" fillId="0" borderId="76" xfId="0" applyNumberFormat="1" applyFont="1" applyBorder="1" applyAlignment="1">
      <alignment horizontal="center"/>
    </xf>
    <xf numFmtId="2" fontId="2" fillId="20" borderId="76" xfId="0" applyNumberFormat="1" applyFont="1" applyFill="1" applyBorder="1" applyAlignment="1"/>
    <xf numFmtId="2" fontId="72" fillId="21" borderId="76" xfId="0" applyNumberFormat="1" applyFont="1" applyFill="1" applyBorder="1" applyAlignment="1">
      <alignment horizontal="left"/>
    </xf>
    <xf numFmtId="2" fontId="72" fillId="21" borderId="76" xfId="0" applyNumberFormat="1" applyFont="1" applyFill="1" applyBorder="1" applyAlignment="1">
      <alignment horizontal="right"/>
    </xf>
    <xf numFmtId="2" fontId="79" fillId="0" borderId="76" xfId="0" applyNumberFormat="1" applyFont="1" applyBorder="1" applyAlignment="1"/>
    <xf numFmtId="2" fontId="79" fillId="24" borderId="76" xfId="0" applyNumberFormat="1" applyFont="1" applyFill="1" applyBorder="1" applyAlignment="1"/>
    <xf numFmtId="2" fontId="106" fillId="22" borderId="76" xfId="0" applyNumberFormat="1" applyFont="1" applyFill="1" applyBorder="1" applyAlignment="1"/>
    <xf numFmtId="2" fontId="72" fillId="22" borderId="76" xfId="0" applyNumberFormat="1" applyFont="1" applyFill="1" applyBorder="1" applyAlignment="1">
      <alignment horizontal="left"/>
    </xf>
    <xf numFmtId="2" fontId="72" fillId="22" borderId="76" xfId="0" applyNumberFormat="1" applyFont="1" applyFill="1" applyBorder="1" applyAlignment="1">
      <alignment horizontal="right"/>
    </xf>
    <xf numFmtId="2" fontId="2" fillId="22" borderId="76" xfId="0" applyNumberFormat="1" applyFont="1" applyFill="1" applyBorder="1" applyAlignment="1"/>
    <xf numFmtId="2" fontId="66" fillId="0" borderId="76" xfId="0" applyNumberFormat="1" applyFont="1" applyBorder="1" applyAlignment="1">
      <alignment horizontal="left"/>
    </xf>
    <xf numFmtId="2" fontId="74" fillId="0" borderId="76" xfId="0" applyNumberFormat="1" applyFont="1" applyBorder="1" applyAlignment="1">
      <alignment horizontal="right"/>
    </xf>
    <xf numFmtId="2" fontId="75" fillId="0" borderId="76" xfId="0" applyNumberFormat="1" applyFont="1" applyBorder="1" applyAlignment="1">
      <alignment horizontal="left"/>
    </xf>
    <xf numFmtId="2" fontId="1" fillId="0" borderId="76" xfId="0" applyNumberFormat="1" applyFont="1" applyBorder="1" applyAlignment="1">
      <alignment horizontal="right"/>
    </xf>
    <xf numFmtId="2" fontId="76" fillId="0" borderId="76" xfId="0" applyNumberFormat="1" applyFont="1" applyBorder="1" applyAlignment="1">
      <alignment horizontal="right"/>
    </xf>
    <xf numFmtId="2" fontId="77" fillId="0" borderId="76" xfId="0" applyNumberFormat="1" applyFont="1" applyBorder="1" applyAlignment="1">
      <alignment horizontal="left"/>
    </xf>
    <xf numFmtId="2" fontId="78" fillId="0" borderId="76" xfId="0" applyNumberFormat="1" applyFont="1" applyBorder="1" applyAlignment="1">
      <alignment horizontal="left"/>
    </xf>
    <xf numFmtId="2" fontId="79" fillId="18" borderId="76" xfId="0" applyNumberFormat="1" applyFont="1" applyFill="1" applyBorder="1" applyAlignment="1"/>
    <xf numFmtId="2" fontId="92" fillId="18" borderId="76" xfId="0" applyNumberFormat="1" applyFont="1" applyFill="1" applyBorder="1" applyAlignment="1">
      <alignment horizontal="left"/>
    </xf>
    <xf numFmtId="2" fontId="96" fillId="4" borderId="0" xfId="0" applyNumberFormat="1" applyFont="1" applyFill="1" applyAlignment="1"/>
    <xf numFmtId="2" fontId="7" fillId="3" borderId="21" xfId="0" applyNumberFormat="1" applyFont="1" applyFill="1" applyBorder="1" applyAlignment="1"/>
    <xf numFmtId="2" fontId="7" fillId="13" borderId="21" xfId="0" applyNumberFormat="1" applyFont="1" applyFill="1" applyBorder="1" applyAlignment="1"/>
    <xf numFmtId="2" fontId="7" fillId="13" borderId="0" xfId="0" applyNumberFormat="1" applyFont="1" applyFill="1" applyBorder="1" applyAlignment="1"/>
    <xf numFmtId="2" fontId="122" fillId="0" borderId="0" xfId="0" applyNumberFormat="1" applyFont="1" applyAlignment="1"/>
    <xf numFmtId="2" fontId="7" fillId="13" borderId="57" xfId="0" applyNumberFormat="1" applyFont="1" applyFill="1" applyBorder="1" applyAlignment="1"/>
    <xf numFmtId="2" fontId="99" fillId="0" borderId="0" xfId="0" applyNumberFormat="1" applyFont="1" applyAlignment="1"/>
    <xf numFmtId="1" fontId="105" fillId="5" borderId="51" xfId="0" applyNumberFormat="1" applyFont="1" applyFill="1" applyBorder="1"/>
    <xf numFmtId="1" fontId="105" fillId="2" borderId="67" xfId="0" applyNumberFormat="1" applyFont="1" applyFill="1" applyBorder="1"/>
    <xf numFmtId="1" fontId="105" fillId="5" borderId="67" xfId="0" applyNumberFormat="1" applyFont="1" applyFill="1" applyBorder="1"/>
    <xf numFmtId="1" fontId="7" fillId="0" borderId="47" xfId="0" applyNumberFormat="1" applyFont="1" applyBorder="1" applyAlignment="1">
      <alignment horizontal="left"/>
    </xf>
    <xf numFmtId="1" fontId="5" fillId="0" borderId="11" xfId="0" applyNumberFormat="1" applyFont="1" applyBorder="1" applyAlignment="1" applyProtection="1">
      <alignment horizontal="center"/>
      <protection locked="0"/>
    </xf>
    <xf numFmtId="1" fontId="5" fillId="0" borderId="8" xfId="0" applyNumberFormat="1" applyFont="1" applyBorder="1" applyAlignment="1" applyProtection="1">
      <alignment horizontal="center"/>
      <protection locked="0"/>
    </xf>
    <xf numFmtId="1" fontId="14" fillId="0" borderId="16" xfId="0" applyNumberFormat="1" applyFont="1" applyBorder="1" applyAlignment="1" applyProtection="1">
      <alignment horizontal="center"/>
      <protection locked="0"/>
    </xf>
    <xf numFmtId="1" fontId="5" fillId="0" borderId="52" xfId="0" applyNumberFormat="1" applyFont="1" applyBorder="1" applyAlignment="1" applyProtection="1">
      <alignment horizontal="center"/>
      <protection locked="0"/>
    </xf>
    <xf numFmtId="9" fontId="14" fillId="0" borderId="0" xfId="2" applyFont="1" applyAlignment="1">
      <alignment horizontal="center"/>
    </xf>
    <xf numFmtId="1" fontId="105" fillId="2" borderId="65" xfId="0" applyNumberFormat="1" applyFont="1" applyFill="1" applyBorder="1" applyAlignment="1">
      <alignment horizontal="right"/>
    </xf>
    <xf numFmtId="1" fontId="114" fillId="2" borderId="65" xfId="0" applyNumberFormat="1" applyFont="1" applyFill="1" applyBorder="1" applyAlignment="1">
      <alignment horizontal="right"/>
    </xf>
    <xf numFmtId="1" fontId="108" fillId="2" borderId="65" xfId="0" applyNumberFormat="1" applyFont="1" applyFill="1" applyBorder="1" applyAlignment="1"/>
    <xf numFmtId="1" fontId="109" fillId="5" borderId="65" xfId="0" applyNumberFormat="1" applyFont="1" applyFill="1" applyBorder="1" applyAlignment="1"/>
    <xf numFmtId="1" fontId="105" fillId="2" borderId="65" xfId="0" applyNumberFormat="1" applyFont="1" applyFill="1" applyBorder="1" applyAlignment="1"/>
    <xf numFmtId="1" fontId="105" fillId="5" borderId="65" xfId="0" applyNumberFormat="1" applyFont="1" applyFill="1" applyBorder="1" applyAlignment="1"/>
    <xf numFmtId="1" fontId="0" fillId="2" borderId="65" xfId="0" applyNumberFormat="1" applyFill="1" applyBorder="1"/>
    <xf numFmtId="1" fontId="107" fillId="5" borderId="65" xfId="0" applyNumberFormat="1" applyFont="1" applyFill="1" applyBorder="1" applyAlignment="1"/>
    <xf numFmtId="1" fontId="1" fillId="0" borderId="31" xfId="0" applyNumberFormat="1" applyFont="1" applyBorder="1" applyAlignment="1"/>
    <xf numFmtId="1" fontId="105" fillId="5" borderId="65" xfId="0" applyNumberFormat="1" applyFont="1" applyFill="1" applyBorder="1" applyAlignment="1">
      <alignment horizontal="right"/>
    </xf>
    <xf numFmtId="1" fontId="105" fillId="19" borderId="65" xfId="0" applyNumberFormat="1" applyFont="1" applyFill="1" applyBorder="1" applyAlignment="1">
      <alignment horizontal="right"/>
    </xf>
    <xf numFmtId="1" fontId="107" fillId="2" borderId="65" xfId="0" applyNumberFormat="1" applyFont="1" applyFill="1" applyBorder="1" applyAlignment="1">
      <alignment horizontal="right"/>
    </xf>
    <xf numFmtId="1" fontId="107" fillId="5" borderId="65" xfId="0" applyNumberFormat="1" applyFont="1" applyFill="1" applyBorder="1" applyAlignment="1">
      <alignment horizontal="right"/>
    </xf>
    <xf numFmtId="1" fontId="105" fillId="5" borderId="65" xfId="0" applyNumberFormat="1" applyFont="1" applyFill="1" applyBorder="1" applyAlignment="1">
      <alignment horizontal="center"/>
    </xf>
    <xf numFmtId="1" fontId="105" fillId="2" borderId="68" xfId="0" applyNumberFormat="1" applyFont="1" applyFill="1" applyBorder="1" applyAlignment="1">
      <alignment horizontal="center"/>
    </xf>
    <xf numFmtId="1" fontId="14" fillId="18" borderId="17" xfId="0" applyNumberFormat="1" applyFont="1" applyFill="1" applyBorder="1" applyAlignment="1">
      <alignment horizontal="center"/>
    </xf>
    <xf numFmtId="1" fontId="5" fillId="18" borderId="62" xfId="0" applyNumberFormat="1" applyFont="1" applyFill="1" applyBorder="1" applyAlignment="1" applyProtection="1">
      <alignment horizontal="center"/>
      <protection locked="0"/>
    </xf>
    <xf numFmtId="1" fontId="106" fillId="5" borderId="65" xfId="0" applyNumberFormat="1" applyFont="1" applyFill="1" applyBorder="1" applyAlignment="1">
      <alignment horizontal="right"/>
    </xf>
    <xf numFmtId="1" fontId="0" fillId="5" borderId="65" xfId="0" applyNumberFormat="1" applyFill="1" applyBorder="1"/>
    <xf numFmtId="1" fontId="107" fillId="2" borderId="65" xfId="0" applyNumberFormat="1" applyFont="1" applyFill="1" applyBorder="1" applyAlignment="1"/>
    <xf numFmtId="1" fontId="105" fillId="2" borderId="65" xfId="0" applyNumberFormat="1" applyFont="1" applyFill="1" applyBorder="1" applyAlignment="1">
      <alignment horizontal="center"/>
    </xf>
    <xf numFmtId="10" fontId="107" fillId="17" borderId="40" xfId="2" applyNumberFormat="1" applyFont="1" applyFill="1" applyBorder="1" applyAlignment="1">
      <alignment horizontal="left"/>
    </xf>
    <xf numFmtId="10" fontId="107" fillId="16" borderId="36" xfId="2" applyNumberFormat="1" applyFont="1" applyFill="1" applyBorder="1" applyAlignment="1">
      <alignment horizontal="left"/>
    </xf>
    <xf numFmtId="10" fontId="72" fillId="22" borderId="75" xfId="2" applyNumberFormat="1" applyFont="1" applyFill="1" applyBorder="1" applyAlignment="1">
      <alignment horizontal="right"/>
    </xf>
    <xf numFmtId="10" fontId="72" fillId="21" borderId="75" xfId="2" applyNumberFormat="1" applyFont="1" applyFill="1" applyBorder="1" applyAlignment="1">
      <alignment horizontal="right"/>
    </xf>
    <xf numFmtId="10" fontId="7" fillId="17" borderId="40" xfId="2" applyNumberFormat="1" applyFont="1" applyFill="1" applyBorder="1" applyAlignment="1">
      <alignment horizontal="left"/>
    </xf>
    <xf numFmtId="10" fontId="7" fillId="16" borderId="36" xfId="2" applyNumberFormat="1" applyFont="1" applyFill="1" applyBorder="1" applyAlignment="1">
      <alignment horizontal="left"/>
    </xf>
    <xf numFmtId="10" fontId="72" fillId="21" borderId="76" xfId="2" applyNumberFormat="1" applyFont="1" applyFill="1" applyBorder="1" applyAlignment="1">
      <alignment horizontal="right"/>
    </xf>
    <xf numFmtId="1" fontId="42" fillId="0" borderId="28" xfId="0" applyNumberFormat="1" applyFont="1" applyBorder="1" applyAlignment="1" applyProtection="1">
      <alignment horizontal="right"/>
      <protection locked="0"/>
    </xf>
    <xf numFmtId="1" fontId="1" fillId="0" borderId="6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2" xfId="0" applyNumberFormat="1" applyFont="1" applyBorder="1" applyAlignment="1">
      <alignment horizontal="right"/>
    </xf>
    <xf numFmtId="164" fontId="116" fillId="2" borderId="0" xfId="2" applyNumberFormat="1" applyFont="1" applyFill="1" applyAlignment="1">
      <alignment horizontal="center"/>
    </xf>
    <xf numFmtId="9" fontId="110" fillId="5" borderId="65" xfId="0" applyNumberFormat="1" applyFont="1" applyFill="1" applyBorder="1" applyAlignment="1" applyProtection="1">
      <protection locked="0"/>
    </xf>
    <xf numFmtId="1" fontId="110" fillId="5" borderId="65" xfId="0" applyNumberFormat="1" applyFont="1" applyFill="1" applyBorder="1" applyAlignment="1" applyProtection="1">
      <protection locked="0"/>
    </xf>
    <xf numFmtId="1" fontId="110" fillId="2" borderId="65" xfId="0" applyNumberFormat="1" applyFont="1" applyFill="1" applyBorder="1" applyAlignment="1" applyProtection="1">
      <protection locked="0"/>
    </xf>
    <xf numFmtId="1" fontId="5" fillId="0" borderId="75" xfId="0" applyNumberFormat="1" applyFont="1" applyBorder="1" applyAlignment="1">
      <alignment horizontal="right"/>
    </xf>
    <xf numFmtId="9" fontId="5" fillId="0" borderId="75" xfId="2" applyFont="1" applyBorder="1" applyAlignment="1">
      <alignment horizontal="right"/>
    </xf>
    <xf numFmtId="9" fontId="110" fillId="5" borderId="65" xfId="2" applyNumberFormat="1" applyFont="1" applyFill="1" applyBorder="1" applyAlignment="1" applyProtection="1">
      <alignment horizontal="right"/>
      <protection locked="0"/>
    </xf>
    <xf numFmtId="9" fontId="129" fillId="5" borderId="65" xfId="2" applyNumberFormat="1" applyFont="1" applyFill="1" applyBorder="1" applyAlignment="1" applyProtection="1">
      <alignment horizontal="right"/>
      <protection locked="0"/>
    </xf>
    <xf numFmtId="9" fontId="129" fillId="2" borderId="68" xfId="2" applyNumberFormat="1" applyFont="1" applyFill="1" applyBorder="1" applyAlignment="1" applyProtection="1">
      <alignment horizontal="right"/>
      <protection locked="0"/>
    </xf>
    <xf numFmtId="1" fontId="4" fillId="19" borderId="75" xfId="0" applyNumberFormat="1" applyFont="1" applyFill="1" applyBorder="1" applyAlignment="1">
      <alignment horizontal="right"/>
    </xf>
    <xf numFmtId="9" fontId="109" fillId="19" borderId="75" xfId="2" applyFont="1" applyFill="1" applyBorder="1" applyAlignment="1">
      <alignment horizontal="right"/>
    </xf>
    <xf numFmtId="9" fontId="129" fillId="2" borderId="65" xfId="2" applyNumberFormat="1" applyFont="1" applyFill="1" applyBorder="1" applyAlignment="1" applyProtection="1">
      <alignment horizontal="right"/>
      <protection locked="0"/>
    </xf>
    <xf numFmtId="9" fontId="5" fillId="19" borderId="76" xfId="2" applyFont="1" applyFill="1" applyBorder="1" applyAlignment="1">
      <alignment horizontal="right"/>
    </xf>
    <xf numFmtId="9" fontId="14" fillId="0" borderId="1" xfId="2" applyFont="1" applyBorder="1" applyAlignment="1">
      <alignment horizontal="center"/>
    </xf>
    <xf numFmtId="2" fontId="14" fillId="4" borderId="77" xfId="0" applyNumberFormat="1" applyFont="1" applyFill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protection locked="0"/>
    </xf>
    <xf numFmtId="3" fontId="1" fillId="0" borderId="0" xfId="2" applyNumberFormat="1" applyFont="1" applyBorder="1" applyAlignment="1" applyProtection="1">
      <protection locked="0"/>
    </xf>
    <xf numFmtId="2" fontId="7" fillId="0" borderId="0" xfId="0" applyNumberFormat="1" applyFont="1" applyFill="1" applyAlignment="1"/>
    <xf numFmtId="2" fontId="120" fillId="34" borderId="0" xfId="0" applyNumberFormat="1" applyFont="1" applyFill="1" applyAlignment="1"/>
    <xf numFmtId="4" fontId="134" fillId="0" borderId="30" xfId="0" applyNumberFormat="1" applyFont="1" applyBorder="1" applyAlignment="1"/>
    <xf numFmtId="2" fontId="109" fillId="5" borderId="65" xfId="0" applyNumberFormat="1" applyFont="1" applyFill="1" applyBorder="1" applyProtection="1">
      <protection locked="0"/>
    </xf>
    <xf numFmtId="2" fontId="109" fillId="2" borderId="65" xfId="0" applyNumberFormat="1" applyFont="1" applyFill="1" applyBorder="1" applyProtection="1">
      <protection locked="0"/>
    </xf>
    <xf numFmtId="2" fontId="110" fillId="2" borderId="65" xfId="0" applyNumberFormat="1" applyFont="1" applyFill="1" applyBorder="1" applyAlignment="1" applyProtection="1">
      <alignment horizontal="right"/>
      <protection locked="0"/>
    </xf>
    <xf numFmtId="2" fontId="110" fillId="5" borderId="65" xfId="0" applyNumberFormat="1" applyFont="1" applyFill="1" applyBorder="1" applyAlignment="1" applyProtection="1">
      <alignment horizontal="left"/>
      <protection locked="0"/>
    </xf>
    <xf numFmtId="2" fontId="79" fillId="0" borderId="0" xfId="0" applyNumberFormat="1" applyFont="1" applyAlignment="1" applyProtection="1">
      <protection locked="0"/>
    </xf>
    <xf numFmtId="2" fontId="7" fillId="0" borderId="31" xfId="0" applyNumberFormat="1" applyFont="1" applyBorder="1" applyAlignment="1" applyProtection="1">
      <alignment horizontal="left"/>
      <protection locked="0"/>
    </xf>
    <xf numFmtId="2" fontId="109" fillId="2" borderId="65" xfId="0" applyNumberFormat="1" applyFont="1" applyFill="1" applyBorder="1" applyAlignment="1" applyProtection="1">
      <protection locked="0"/>
    </xf>
    <xf numFmtId="2" fontId="7" fillId="0" borderId="6" xfId="0" applyNumberFormat="1" applyFont="1" applyBorder="1" applyAlignment="1" applyProtection="1">
      <alignment horizontal="left"/>
      <protection locked="0"/>
    </xf>
    <xf numFmtId="1" fontId="14" fillId="19" borderId="65" xfId="0" applyNumberFormat="1" applyFont="1" applyFill="1" applyBorder="1" applyAlignment="1" applyProtection="1">
      <alignment horizontal="right"/>
    </xf>
    <xf numFmtId="2" fontId="0" fillId="0" borderId="0" xfId="0" applyNumberFormat="1" applyFont="1" applyAlignment="1"/>
    <xf numFmtId="2" fontId="127" fillId="0" borderId="0" xfId="0" applyNumberFormat="1" applyFont="1" applyAlignment="1"/>
    <xf numFmtId="2" fontId="135" fillId="0" borderId="0" xfId="0" applyNumberFormat="1" applyFont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7" fontId="7" fillId="0" borderId="0" xfId="0" applyNumberFormat="1" applyFont="1" applyBorder="1" applyAlignment="1" applyProtection="1">
      <protection locked="0"/>
    </xf>
    <xf numFmtId="2" fontId="1" fillId="24" borderId="0" xfId="0" applyNumberFormat="1" applyFont="1" applyFill="1" applyBorder="1" applyAlignment="1">
      <alignment horizontal="center"/>
    </xf>
    <xf numFmtId="2" fontId="48" fillId="0" borderId="0" xfId="0" applyNumberFormat="1" applyFont="1" applyAlignment="1"/>
    <xf numFmtId="2" fontId="11" fillId="0" borderId="16" xfId="0" applyNumberFormat="1" applyFont="1" applyBorder="1" applyAlignment="1">
      <alignment horizontal="right"/>
    </xf>
    <xf numFmtId="2" fontId="133" fillId="0" borderId="0" xfId="0" applyNumberFormat="1" applyFont="1" applyBorder="1" applyAlignment="1">
      <alignment horizontal="right"/>
    </xf>
    <xf numFmtId="2" fontId="7" fillId="0" borderId="26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right"/>
    </xf>
    <xf numFmtId="2" fontId="7" fillId="4" borderId="5" xfId="0" applyNumberFormat="1" applyFont="1" applyFill="1" applyBorder="1" applyAlignment="1">
      <alignment horizontal="right"/>
    </xf>
    <xf numFmtId="2" fontId="7" fillId="4" borderId="2" xfId="0" applyNumberFormat="1" applyFont="1" applyFill="1" applyBorder="1" applyAlignment="1">
      <alignment horizontal="right"/>
    </xf>
    <xf numFmtId="2" fontId="42" fillId="0" borderId="5" xfId="0" applyNumberFormat="1" applyFont="1" applyBorder="1" applyAlignment="1">
      <alignment horizontal="right"/>
    </xf>
    <xf numFmtId="2" fontId="42" fillId="0" borderId="2" xfId="0" applyNumberFormat="1" applyFont="1" applyBorder="1" applyAlignment="1">
      <alignment horizontal="right"/>
    </xf>
    <xf numFmtId="2" fontId="63" fillId="0" borderId="5" xfId="0" applyNumberFormat="1" applyFont="1" applyBorder="1" applyAlignment="1">
      <alignment horizontal="right"/>
    </xf>
    <xf numFmtId="2" fontId="63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2" fontId="7" fillId="0" borderId="4" xfId="0" applyNumberFormat="1" applyFont="1" applyBorder="1" applyAlignment="1">
      <alignment horizontal="right"/>
    </xf>
    <xf numFmtId="2" fontId="63" fillId="4" borderId="2" xfId="0" applyNumberFormat="1" applyFont="1" applyFill="1" applyBorder="1" applyAlignment="1">
      <alignment horizontal="right"/>
    </xf>
    <xf numFmtId="1" fontId="42" fillId="3" borderId="0" xfId="0" applyNumberFormat="1" applyFont="1" applyFill="1" applyAlignment="1" applyProtection="1">
      <alignment horizontal="center"/>
      <protection locked="0"/>
    </xf>
    <xf numFmtId="2" fontId="1" fillId="24" borderId="0" xfId="0" applyNumberFormat="1" applyFont="1" applyFill="1" applyAlignment="1">
      <alignment horizontal="right"/>
    </xf>
    <xf numFmtId="1" fontId="5" fillId="0" borderId="0" xfId="0" applyNumberFormat="1" applyFont="1" applyAlignment="1" applyProtection="1">
      <alignment horizontal="center"/>
      <protection locked="0"/>
    </xf>
    <xf numFmtId="2" fontId="14" fillId="0" borderId="0" xfId="0" applyNumberFormat="1" applyFont="1" applyFill="1" applyAlignment="1"/>
    <xf numFmtId="10" fontId="105" fillId="5" borderId="65" xfId="0" applyNumberFormat="1" applyFont="1" applyFill="1" applyBorder="1" applyAlignment="1">
      <alignment horizontal="right"/>
    </xf>
    <xf numFmtId="10" fontId="105" fillId="2" borderId="65" xfId="0" applyNumberFormat="1" applyFont="1" applyFill="1" applyBorder="1" applyAlignment="1">
      <alignment horizontal="right"/>
    </xf>
    <xf numFmtId="1" fontId="2" fillId="19" borderId="65" xfId="0" applyNumberFormat="1" applyFont="1" applyFill="1" applyBorder="1" applyAlignment="1" applyProtection="1">
      <alignment horizontal="right"/>
    </xf>
    <xf numFmtId="9" fontId="105" fillId="5" borderId="65" xfId="2" applyFont="1" applyFill="1" applyBorder="1" applyAlignment="1">
      <alignment horizontal="right"/>
    </xf>
    <xf numFmtId="10" fontId="7" fillId="2" borderId="75" xfId="0" applyNumberFormat="1" applyFont="1" applyFill="1" applyBorder="1" applyAlignment="1">
      <alignment horizontal="right"/>
    </xf>
    <xf numFmtId="9" fontId="7" fillId="2" borderId="75" xfId="2" applyFont="1" applyFill="1" applyBorder="1" applyAlignment="1">
      <alignment horizontal="right"/>
    </xf>
    <xf numFmtId="10" fontId="7" fillId="0" borderId="76" xfId="0" applyNumberFormat="1" applyFont="1" applyBorder="1" applyAlignment="1">
      <alignment horizontal="right"/>
    </xf>
    <xf numFmtId="9" fontId="7" fillId="0" borderId="76" xfId="2" applyFont="1" applyBorder="1" applyAlignment="1">
      <alignment horizontal="right"/>
    </xf>
    <xf numFmtId="2" fontId="0" fillId="0" borderId="0" xfId="0" applyNumberFormat="1" applyFont="1" applyAlignment="1"/>
    <xf numFmtId="164" fontId="7" fillId="0" borderId="0" xfId="2" applyNumberFormat="1" applyFont="1" applyAlignment="1"/>
    <xf numFmtId="164" fontId="2" fillId="0" borderId="0" xfId="2" applyNumberFormat="1" applyFont="1"/>
    <xf numFmtId="2" fontId="0" fillId="0" borderId="0" xfId="0" applyNumberFormat="1" applyFont="1" applyAlignment="1"/>
    <xf numFmtId="2" fontId="48" fillId="0" borderId="0" xfId="0" applyNumberFormat="1" applyFont="1" applyAlignment="1"/>
    <xf numFmtId="2" fontId="11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/>
    <xf numFmtId="10" fontId="1" fillId="0" borderId="0" xfId="2" applyNumberFormat="1" applyFont="1" applyBorder="1" applyAlignment="1" applyProtection="1">
      <protection locked="0"/>
    </xf>
    <xf numFmtId="3" fontId="32" fillId="0" borderId="0" xfId="0" applyNumberFormat="1" applyFont="1" applyBorder="1" applyAlignment="1" applyProtection="1">
      <protection locked="0"/>
    </xf>
    <xf numFmtId="0" fontId="18" fillId="4" borderId="17" xfId="0" applyFont="1" applyFill="1" applyBorder="1" applyAlignment="1"/>
    <xf numFmtId="1" fontId="7" fillId="0" borderId="16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63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2" fontId="136" fillId="35" borderId="0" xfId="0" applyNumberFormat="1" applyFont="1" applyFill="1" applyAlignment="1"/>
    <xf numFmtId="1" fontId="2" fillId="35" borderId="0" xfId="0" applyNumberFormat="1" applyFont="1" applyFill="1" applyBorder="1" applyAlignment="1" applyProtection="1"/>
    <xf numFmtId="1" fontId="7" fillId="36" borderId="67" xfId="0" applyNumberFormat="1" applyFont="1" applyFill="1" applyBorder="1"/>
    <xf numFmtId="2" fontId="105" fillId="36" borderId="65" xfId="0" applyNumberFormat="1" applyFont="1" applyFill="1" applyBorder="1"/>
    <xf numFmtId="2" fontId="7" fillId="36" borderId="65" xfId="0" applyNumberFormat="1" applyFont="1" applyFill="1" applyBorder="1"/>
    <xf numFmtId="2" fontId="105" fillId="37" borderId="66" xfId="0" applyNumberFormat="1" applyFont="1" applyFill="1" applyBorder="1"/>
    <xf numFmtId="1" fontId="7" fillId="0" borderId="75" xfId="0" applyNumberFormat="1" applyFont="1" applyBorder="1" applyAlignment="1">
      <alignment horizontal="center"/>
    </xf>
    <xf numFmtId="1" fontId="7" fillId="2" borderId="75" xfId="0" applyNumberFormat="1" applyFont="1" applyFill="1" applyBorder="1" applyAlignment="1">
      <alignment horizontal="center"/>
    </xf>
    <xf numFmtId="1" fontId="39" fillId="0" borderId="75" xfId="0" applyNumberFormat="1" applyFont="1" applyBorder="1" applyAlignment="1">
      <alignment horizontal="center"/>
    </xf>
    <xf numFmtId="1" fontId="7" fillId="19" borderId="75" xfId="0" applyNumberFormat="1" applyFont="1" applyFill="1" applyBorder="1" applyAlignment="1">
      <alignment horizontal="center"/>
    </xf>
    <xf numFmtId="2" fontId="53" fillId="36" borderId="75" xfId="0" applyNumberFormat="1" applyFont="1" applyFill="1" applyBorder="1" applyAlignment="1">
      <alignment horizontal="left"/>
    </xf>
    <xf numFmtId="2" fontId="54" fillId="37" borderId="75" xfId="0" applyNumberFormat="1" applyFont="1" applyFill="1" applyBorder="1" applyAlignment="1">
      <alignment horizontal="left"/>
    </xf>
    <xf numFmtId="2" fontId="7" fillId="37" borderId="75" xfId="0" applyNumberFormat="1" applyFont="1" applyFill="1" applyBorder="1" applyAlignment="1">
      <alignment horizontal="left"/>
    </xf>
    <xf numFmtId="2" fontId="55" fillId="38" borderId="75" xfId="0" applyNumberFormat="1" applyFont="1" applyFill="1" applyBorder="1" applyAlignment="1">
      <alignment horizontal="left"/>
    </xf>
    <xf numFmtId="166" fontId="7" fillId="0" borderId="75" xfId="0" applyNumberFormat="1" applyFont="1" applyBorder="1" applyAlignment="1">
      <alignment horizontal="left"/>
    </xf>
    <xf numFmtId="2" fontId="104" fillId="0" borderId="0" xfId="1" applyNumberFormat="1" applyAlignment="1"/>
    <xf numFmtId="1" fontId="14" fillId="4" borderId="0" xfId="0" applyNumberFormat="1" applyFont="1" applyFill="1" applyAlignment="1">
      <alignment horizontal="right"/>
    </xf>
    <xf numFmtId="1" fontId="14" fillId="4" borderId="0" xfId="0" applyNumberFormat="1" applyFont="1" applyFill="1" applyAlignment="1"/>
    <xf numFmtId="2" fontId="48" fillId="0" borderId="0" xfId="0" applyNumberFormat="1" applyFont="1" applyAlignment="1"/>
    <xf numFmtId="2" fontId="122" fillId="0" borderId="0" xfId="0" applyNumberFormat="1" applyFont="1" applyAlignment="1"/>
    <xf numFmtId="167" fontId="25" fillId="0" borderId="0" xfId="0" applyNumberFormat="1" applyFont="1" applyAlignment="1"/>
    <xf numFmtId="167" fontId="7" fillId="0" borderId="0" xfId="0" applyNumberFormat="1" applyFont="1" applyAlignment="1">
      <alignment horizontal="right"/>
    </xf>
    <xf numFmtId="167" fontId="7" fillId="0" borderId="0" xfId="2" applyNumberFormat="1" applyFont="1" applyAlignment="1"/>
    <xf numFmtId="2" fontId="3" fillId="2" borderId="0" xfId="0" applyNumberFormat="1" applyFont="1" applyFill="1" applyAlignment="1">
      <alignment horizontal="center"/>
    </xf>
    <xf numFmtId="2" fontId="7" fillId="24" borderId="66" xfId="0" applyNumberFormat="1" applyFont="1" applyFill="1" applyBorder="1"/>
    <xf numFmtId="2" fontId="7" fillId="3" borderId="66" xfId="0" applyNumberFormat="1" applyFont="1" applyFill="1" applyBorder="1"/>
    <xf numFmtId="2" fontId="42" fillId="0" borderId="0" xfId="0" applyNumberFormat="1" applyFont="1" applyBorder="1" applyAlignment="1" applyProtection="1">
      <protection locked="0"/>
    </xf>
    <xf numFmtId="2" fontId="116" fillId="0" borderId="0" xfId="0" applyNumberFormat="1" applyFont="1" applyAlignment="1"/>
    <xf numFmtId="2" fontId="57" fillId="0" borderId="0" xfId="0" applyNumberFormat="1" applyFont="1" applyAlignment="1"/>
    <xf numFmtId="2" fontId="138" fillId="0" borderId="0" xfId="0" applyNumberFormat="1" applyFont="1" applyAlignment="1"/>
    <xf numFmtId="4" fontId="14" fillId="0" borderId="31" xfId="0" applyNumberFormat="1" applyFont="1" applyBorder="1"/>
    <xf numFmtId="4" fontId="14" fillId="0" borderId="31" xfId="0" applyNumberFormat="1" applyFont="1" applyBorder="1" applyAlignment="1">
      <alignment horizontal="left"/>
    </xf>
    <xf numFmtId="4" fontId="14" fillId="16" borderId="34" xfId="0" applyNumberFormat="1" applyFont="1" applyFill="1" applyBorder="1" applyAlignment="1">
      <alignment horizontal="left"/>
    </xf>
    <xf numFmtId="4" fontId="14" fillId="17" borderId="38" xfId="0" applyNumberFormat="1" applyFont="1" applyFill="1" applyBorder="1" applyAlignment="1">
      <alignment horizontal="left"/>
    </xf>
    <xf numFmtId="9" fontId="105" fillId="2" borderId="65" xfId="2" applyFont="1" applyFill="1" applyBorder="1"/>
    <xf numFmtId="9" fontId="105" fillId="2" borderId="65" xfId="2" applyFont="1" applyFill="1" applyBorder="1" applyAlignment="1">
      <alignment horizontal="right"/>
    </xf>
    <xf numFmtId="9" fontId="105" fillId="5" borderId="65" xfId="2" applyFont="1" applyFill="1" applyBorder="1"/>
    <xf numFmtId="2" fontId="14" fillId="4" borderId="87" xfId="0" applyNumberFormat="1" applyFont="1" applyFill="1" applyBorder="1" applyAlignment="1">
      <alignment horizontal="right"/>
    </xf>
    <xf numFmtId="4" fontId="134" fillId="0" borderId="88" xfId="0" applyNumberFormat="1" applyFont="1" applyBorder="1" applyAlignment="1"/>
    <xf numFmtId="1" fontId="3" fillId="0" borderId="91" xfId="0" applyNumberFormat="1" applyFont="1" applyBorder="1" applyAlignment="1" applyProtection="1">
      <alignment horizontal="center"/>
      <protection locked="0"/>
    </xf>
    <xf numFmtId="1" fontId="116" fillId="0" borderId="93" xfId="0" applyNumberFormat="1" applyFont="1" applyBorder="1" applyAlignment="1" applyProtection="1">
      <alignment horizontal="center"/>
      <protection locked="0"/>
    </xf>
    <xf numFmtId="2" fontId="7" fillId="0" borderId="94" xfId="0" applyNumberFormat="1" applyFont="1" applyBorder="1" applyAlignment="1"/>
    <xf numFmtId="2" fontId="7" fillId="0" borderId="0" xfId="0" applyNumberFormat="1" applyFont="1" applyBorder="1" applyAlignment="1"/>
    <xf numFmtId="9" fontId="14" fillId="0" borderId="95" xfId="2" applyFont="1" applyBorder="1" applyAlignment="1">
      <alignment horizontal="center"/>
    </xf>
    <xf numFmtId="2" fontId="139" fillId="15" borderId="97" xfId="0" applyNumberFormat="1" applyFont="1" applyFill="1" applyBorder="1" applyAlignment="1"/>
    <xf numFmtId="2" fontId="50" fillId="15" borderId="98" xfId="0" applyNumberFormat="1" applyFont="1" applyFill="1" applyBorder="1" applyAlignment="1"/>
    <xf numFmtId="1" fontId="137" fillId="15" borderId="99" xfId="0" applyNumberFormat="1" applyFont="1" applyFill="1" applyBorder="1" applyAlignment="1" applyProtection="1">
      <protection locked="0"/>
    </xf>
    <xf numFmtId="1" fontId="5" fillId="14" borderId="95" xfId="0" applyNumberFormat="1" applyFont="1" applyFill="1" applyBorder="1" applyAlignment="1" applyProtection="1">
      <alignment horizontal="center"/>
      <protection locked="0"/>
    </xf>
    <xf numFmtId="1" fontId="105" fillId="2" borderId="65" xfId="0" applyNumberFormat="1" applyFont="1" applyFill="1" applyBorder="1"/>
    <xf numFmtId="9" fontId="5" fillId="5" borderId="65" xfId="0" applyNumberFormat="1" applyFont="1" applyFill="1" applyBorder="1" applyAlignment="1" applyProtection="1">
      <protection locked="0"/>
    </xf>
    <xf numFmtId="2" fontId="7" fillId="16" borderId="100" xfId="0" applyNumberFormat="1" applyFont="1" applyFill="1" applyBorder="1" applyAlignment="1">
      <alignment horizontal="left"/>
    </xf>
    <xf numFmtId="2" fontId="7" fillId="0" borderId="0" xfId="0" applyNumberFormat="1" applyFont="1" applyFill="1" applyBorder="1" applyAlignment="1" applyProtection="1">
      <protection locked="0"/>
    </xf>
    <xf numFmtId="2" fontId="14" fillId="0" borderId="0" xfId="0" applyNumberFormat="1" applyFont="1" applyFill="1" applyBorder="1" applyAlignment="1">
      <alignment horizontal="center"/>
    </xf>
    <xf numFmtId="2" fontId="88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/>
    <xf numFmtId="2" fontId="7" fillId="16" borderId="101" xfId="0" applyNumberFormat="1" applyFont="1" applyFill="1" applyBorder="1" applyAlignment="1">
      <alignment horizontal="left"/>
    </xf>
    <xf numFmtId="2" fontId="7" fillId="0" borderId="102" xfId="0" applyNumberFormat="1" applyFont="1" applyBorder="1" applyAlignment="1">
      <alignment horizontal="left"/>
    </xf>
    <xf numFmtId="2" fontId="7" fillId="17" borderId="103" xfId="0" applyNumberFormat="1" applyFont="1" applyFill="1" applyBorder="1" applyAlignment="1">
      <alignment horizontal="left"/>
    </xf>
    <xf numFmtId="2" fontId="7" fillId="17" borderId="104" xfId="0" applyNumberFormat="1" applyFont="1" applyFill="1" applyBorder="1" applyAlignment="1">
      <alignment horizontal="left"/>
    </xf>
    <xf numFmtId="2" fontId="7" fillId="18" borderId="105" xfId="0" applyNumberFormat="1" applyFont="1" applyFill="1" applyBorder="1" applyAlignment="1">
      <alignment horizontal="left"/>
    </xf>
    <xf numFmtId="17" fontId="7" fillId="39" borderId="78" xfId="0" applyNumberFormat="1" applyFont="1" applyFill="1" applyBorder="1" applyAlignment="1" applyProtection="1">
      <protection locked="0"/>
    </xf>
    <xf numFmtId="2" fontId="7" fillId="39" borderId="0" xfId="0" applyNumberFormat="1" applyFont="1" applyFill="1" applyAlignment="1"/>
    <xf numFmtId="2" fontId="140" fillId="5" borderId="1" xfId="0" applyNumberFormat="1" applyFont="1" applyFill="1" applyBorder="1" applyAlignment="1">
      <alignment horizontal="left"/>
    </xf>
    <xf numFmtId="2" fontId="141" fillId="5" borderId="1" xfId="0" applyNumberFormat="1" applyFont="1" applyFill="1" applyBorder="1" applyAlignment="1">
      <alignment horizontal="left"/>
    </xf>
    <xf numFmtId="2" fontId="142" fillId="0" borderId="0" xfId="0" applyNumberFormat="1" applyFont="1" applyAlignment="1"/>
    <xf numFmtId="2" fontId="0" fillId="0" borderId="0" xfId="0" applyNumberFormat="1" applyFont="1" applyAlignment="1"/>
    <xf numFmtId="2" fontId="48" fillId="0" borderId="0" xfId="0" applyNumberFormat="1" applyFont="1" applyAlignment="1"/>
    <xf numFmtId="167" fontId="7" fillId="0" borderId="0" xfId="0" applyNumberFormat="1" applyFont="1" applyAlignment="1"/>
    <xf numFmtId="167" fontId="89" fillId="15" borderId="0" xfId="0" applyNumberFormat="1" applyFont="1" applyFill="1" applyAlignment="1"/>
    <xf numFmtId="168" fontId="2" fillId="0" borderId="76" xfId="0" applyNumberFormat="1" applyFont="1" applyBorder="1" applyAlignment="1"/>
    <xf numFmtId="168" fontId="7" fillId="2" borderId="75" xfId="0" applyNumberFormat="1" applyFont="1" applyFill="1" applyBorder="1" applyAlignment="1"/>
    <xf numFmtId="17" fontId="116" fillId="40" borderId="0" xfId="0" applyNumberFormat="1" applyFont="1" applyFill="1" applyAlignment="1">
      <alignment horizontal="center"/>
    </xf>
    <xf numFmtId="2" fontId="116" fillId="40" borderId="0" xfId="0" applyNumberFormat="1" applyFont="1" applyFill="1" applyAlignment="1">
      <alignment horizontal="center"/>
    </xf>
    <xf numFmtId="2" fontId="25" fillId="34" borderId="0" xfId="0" applyNumberFormat="1" applyFont="1" applyFill="1" applyAlignment="1"/>
    <xf numFmtId="2" fontId="7" fillId="34" borderId="0" xfId="0" applyNumberFormat="1" applyFont="1" applyFill="1" applyBorder="1" applyAlignment="1"/>
    <xf numFmtId="164" fontId="116" fillId="40" borderId="0" xfId="2" applyNumberFormat="1" applyFont="1" applyFill="1" applyAlignment="1">
      <alignment horizontal="center"/>
    </xf>
    <xf numFmtId="9" fontId="14" fillId="0" borderId="0" xfId="2" applyFont="1" applyBorder="1" applyAlignment="1">
      <alignment horizontal="center"/>
    </xf>
    <xf numFmtId="1" fontId="48" fillId="0" borderId="0" xfId="0" applyNumberFormat="1" applyFont="1" applyBorder="1" applyAlignment="1">
      <alignment horizontal="right"/>
    </xf>
    <xf numFmtId="165" fontId="49" fillId="0" borderId="0" xfId="0" applyNumberFormat="1" applyFont="1" applyBorder="1" applyAlignment="1">
      <alignment horizontal="right"/>
    </xf>
    <xf numFmtId="167" fontId="7" fillId="0" borderId="75" xfId="0" applyNumberFormat="1" applyFont="1" applyBorder="1" applyAlignment="1">
      <alignment horizontal="left"/>
    </xf>
    <xf numFmtId="167" fontId="7" fillId="0" borderId="75" xfId="0" applyNumberFormat="1" applyFont="1" applyBorder="1" applyAlignment="1"/>
    <xf numFmtId="4" fontId="107" fillId="18" borderId="42" xfId="0" applyNumberFormat="1" applyFont="1" applyFill="1" applyBorder="1" applyAlignment="1">
      <alignment horizontal="left"/>
    </xf>
    <xf numFmtId="10" fontId="107" fillId="18" borderId="44" xfId="2" applyNumberFormat="1" applyFont="1" applyFill="1" applyBorder="1" applyAlignment="1">
      <alignment horizontal="left"/>
    </xf>
    <xf numFmtId="10" fontId="107" fillId="30" borderId="44" xfId="2" applyNumberFormat="1" applyFont="1" applyFill="1" applyBorder="1" applyAlignment="1">
      <alignment horizontal="left"/>
    </xf>
    <xf numFmtId="165" fontId="49" fillId="0" borderId="26" xfId="0" applyNumberFormat="1" applyFont="1" applyBorder="1" applyAlignment="1">
      <alignment horizontal="right"/>
    </xf>
    <xf numFmtId="1" fontId="5" fillId="18" borderId="106" xfId="0" applyNumberFormat="1" applyFont="1" applyFill="1" applyBorder="1" applyAlignment="1" applyProtection="1">
      <alignment horizontal="center"/>
      <protection locked="0"/>
    </xf>
    <xf numFmtId="2" fontId="42" fillId="41" borderId="107" xfId="0" applyNumberFormat="1" applyFont="1" applyFill="1" applyBorder="1" applyAlignment="1">
      <alignment horizontal="center"/>
    </xf>
    <xf numFmtId="4" fontId="116" fillId="41" borderId="108" xfId="0" applyNumberFormat="1" applyFont="1" applyFill="1" applyBorder="1" applyAlignment="1">
      <alignment horizontal="right"/>
    </xf>
    <xf numFmtId="4" fontId="134" fillId="0" borderId="109" xfId="0" applyNumberFormat="1" applyFont="1" applyBorder="1" applyAlignment="1"/>
    <xf numFmtId="9" fontId="3" fillId="5" borderId="65" xfId="2" applyFont="1" applyFill="1" applyBorder="1"/>
    <xf numFmtId="2" fontId="48" fillId="0" borderId="0" xfId="0" applyNumberFormat="1" applyFont="1" applyAlignment="1"/>
    <xf numFmtId="1" fontId="7" fillId="0" borderId="76" xfId="0" applyNumberFormat="1" applyFont="1" applyBorder="1" applyAlignment="1">
      <alignment horizontal="right"/>
    </xf>
    <xf numFmtId="1" fontId="7" fillId="2" borderId="76" xfId="0" applyNumberFormat="1" applyFont="1" applyFill="1" applyBorder="1" applyAlignment="1">
      <alignment horizontal="right"/>
    </xf>
    <xf numFmtId="1" fontId="7" fillId="19" borderId="76" xfId="0" applyNumberFormat="1" applyFont="1" applyFill="1" applyBorder="1" applyAlignment="1">
      <alignment horizontal="right"/>
    </xf>
    <xf numFmtId="1" fontId="1" fillId="2" borderId="76" xfId="0" applyNumberFormat="1" applyFont="1" applyFill="1" applyBorder="1" applyAlignment="1">
      <alignment horizontal="right"/>
    </xf>
    <xf numFmtId="1" fontId="7" fillId="2" borderId="76" xfId="0" applyNumberFormat="1" applyFont="1" applyFill="1" applyBorder="1" applyAlignment="1">
      <alignment horizontal="center"/>
    </xf>
    <xf numFmtId="1" fontId="7" fillId="0" borderId="76" xfId="0" applyNumberFormat="1" applyFont="1" applyBorder="1" applyAlignment="1">
      <alignment horizontal="center"/>
    </xf>
    <xf numFmtId="167" fontId="115" fillId="0" borderId="75" xfId="0" applyNumberFormat="1" applyFont="1" applyBorder="1" applyAlignment="1">
      <alignment horizontal="left"/>
    </xf>
    <xf numFmtId="167" fontId="63" fillId="0" borderId="76" xfId="0" applyNumberFormat="1" applyFont="1" applyBorder="1" applyAlignment="1">
      <alignment horizontal="left"/>
    </xf>
    <xf numFmtId="2" fontId="7" fillId="0" borderId="28" xfId="0" applyNumberFormat="1" applyFont="1" applyBorder="1" applyAlignment="1">
      <alignment horizontal="right"/>
    </xf>
    <xf numFmtId="2" fontId="1" fillId="0" borderId="28" xfId="0" applyNumberFormat="1" applyFont="1" applyBorder="1" applyAlignment="1">
      <alignment horizontal="right"/>
    </xf>
    <xf numFmtId="2" fontId="14" fillId="4" borderId="109" xfId="0" applyNumberFormat="1" applyFont="1" applyFill="1" applyBorder="1" applyAlignment="1">
      <alignment horizontal="right"/>
    </xf>
    <xf numFmtId="2" fontId="7" fillId="42" borderId="80" xfId="0" applyNumberFormat="1" applyFont="1" applyFill="1" applyBorder="1" applyAlignment="1" applyProtection="1">
      <protection locked="0"/>
    </xf>
    <xf numFmtId="9" fontId="7" fillId="42" borderId="80" xfId="2" applyFont="1" applyFill="1" applyBorder="1" applyAlignment="1" applyProtection="1">
      <protection locked="0"/>
    </xf>
    <xf numFmtId="2" fontId="7" fillId="42" borderId="81" xfId="0" applyNumberFormat="1" applyFont="1" applyFill="1" applyBorder="1" applyAlignment="1" applyProtection="1">
      <protection locked="0"/>
    </xf>
    <xf numFmtId="2" fontId="0" fillId="42" borderId="110" xfId="0" applyNumberFormat="1" applyFont="1" applyFill="1" applyBorder="1" applyAlignment="1" applyProtection="1">
      <protection locked="0"/>
    </xf>
    <xf numFmtId="2" fontId="42" fillId="42" borderId="112" xfId="0" applyNumberFormat="1" applyFont="1" applyFill="1" applyBorder="1" applyAlignment="1" applyProtection="1">
      <protection locked="0"/>
    </xf>
    <xf numFmtId="17" fontId="7" fillId="42" borderId="82" xfId="0" applyNumberFormat="1" applyFont="1" applyFill="1" applyBorder="1" applyAlignment="1" applyProtection="1">
      <protection locked="0"/>
    </xf>
    <xf numFmtId="17" fontId="7" fillId="42" borderId="78" xfId="0" applyNumberFormat="1" applyFont="1" applyFill="1" applyBorder="1" applyAlignment="1" applyProtection="1">
      <protection locked="0"/>
    </xf>
    <xf numFmtId="17" fontId="7" fillId="42" borderId="83" xfId="0" applyNumberFormat="1" applyFont="1" applyFill="1" applyBorder="1" applyAlignment="1" applyProtection="1">
      <protection locked="0"/>
    </xf>
    <xf numFmtId="3" fontId="7" fillId="42" borderId="82" xfId="0" applyNumberFormat="1" applyFont="1" applyFill="1" applyBorder="1" applyAlignment="1" applyProtection="1">
      <protection locked="0"/>
    </xf>
    <xf numFmtId="3" fontId="7" fillId="42" borderId="78" xfId="0" applyNumberFormat="1" applyFont="1" applyFill="1" applyBorder="1" applyAlignment="1" applyProtection="1">
      <protection locked="0"/>
    </xf>
    <xf numFmtId="3" fontId="7" fillId="42" borderId="78" xfId="2" applyNumberFormat="1" applyFont="1" applyFill="1" applyBorder="1" applyAlignment="1" applyProtection="1">
      <protection locked="0"/>
    </xf>
    <xf numFmtId="3" fontId="7" fillId="42" borderId="83" xfId="2" applyNumberFormat="1" applyFont="1" applyFill="1" applyBorder="1" applyAlignment="1" applyProtection="1">
      <protection locked="0"/>
    </xf>
    <xf numFmtId="2" fontId="7" fillId="42" borderId="84" xfId="0" applyNumberFormat="1" applyFont="1" applyFill="1" applyBorder="1" applyAlignment="1" applyProtection="1">
      <protection locked="0"/>
    </xf>
    <xf numFmtId="10" fontId="7" fillId="42" borderId="85" xfId="2" applyNumberFormat="1" applyFont="1" applyFill="1" applyBorder="1" applyAlignment="1" applyProtection="1">
      <protection locked="0"/>
    </xf>
    <xf numFmtId="10" fontId="7" fillId="42" borderId="86" xfId="2" applyNumberFormat="1" applyFont="1" applyFill="1" applyBorder="1" applyAlignment="1" applyProtection="1">
      <protection locked="0"/>
    </xf>
    <xf numFmtId="1" fontId="144" fillId="42" borderId="79" xfId="0" applyNumberFormat="1" applyFont="1" applyFill="1" applyBorder="1" applyAlignment="1" applyProtection="1">
      <protection locked="0"/>
    </xf>
    <xf numFmtId="9" fontId="145" fillId="42" borderId="80" xfId="2" applyFont="1" applyFill="1" applyBorder="1" applyAlignment="1" applyProtection="1">
      <protection locked="0"/>
    </xf>
    <xf numFmtId="9" fontId="144" fillId="42" borderId="80" xfId="2" applyFont="1" applyFill="1" applyBorder="1" applyAlignment="1" applyProtection="1">
      <protection locked="0"/>
    </xf>
    <xf numFmtId="2" fontId="101" fillId="42" borderId="80" xfId="0" applyNumberFormat="1" applyFont="1" applyFill="1" applyBorder="1" applyAlignment="1" applyProtection="1">
      <protection locked="0"/>
    </xf>
    <xf numFmtId="2" fontId="11" fillId="42" borderId="80" xfId="0" applyNumberFormat="1" applyFont="1" applyFill="1" applyBorder="1" applyAlignment="1" applyProtection="1">
      <protection locked="0"/>
    </xf>
    <xf numFmtId="9" fontId="11" fillId="42" borderId="80" xfId="2" applyFont="1" applyFill="1" applyBorder="1" applyAlignment="1" applyProtection="1">
      <protection locked="0"/>
    </xf>
    <xf numFmtId="9" fontId="18" fillId="42" borderId="80" xfId="2" applyFont="1" applyFill="1" applyBorder="1" applyAlignment="1" applyProtection="1">
      <protection locked="0"/>
    </xf>
    <xf numFmtId="2" fontId="39" fillId="42" borderId="81" xfId="0" applyNumberFormat="1" applyFont="1" applyFill="1" applyBorder="1" applyAlignment="1" applyProtection="1">
      <protection locked="0"/>
    </xf>
    <xf numFmtId="2" fontId="24" fillId="42" borderId="111" xfId="0" applyNumberFormat="1" applyFont="1" applyFill="1" applyBorder="1" applyAlignment="1" applyProtection="1">
      <protection locked="0"/>
    </xf>
    <xf numFmtId="3" fontId="17" fillId="42" borderId="82" xfId="0" applyNumberFormat="1" applyFont="1" applyFill="1" applyBorder="1" applyAlignment="1" applyProtection="1">
      <protection locked="0"/>
    </xf>
    <xf numFmtId="2" fontId="17" fillId="42" borderId="84" xfId="0" applyNumberFormat="1" applyFont="1" applyFill="1" applyBorder="1" applyAlignment="1" applyProtection="1">
      <protection locked="0"/>
    </xf>
    <xf numFmtId="1" fontId="105" fillId="0" borderId="65" xfId="0" applyNumberFormat="1" applyFont="1" applyFill="1" applyBorder="1" applyAlignment="1">
      <alignment horizontal="right"/>
    </xf>
    <xf numFmtId="1" fontId="106" fillId="0" borderId="65" xfId="0" applyNumberFormat="1" applyFont="1" applyFill="1" applyBorder="1" applyAlignment="1">
      <alignment horizontal="right"/>
    </xf>
    <xf numFmtId="2" fontId="105" fillId="0" borderId="65" xfId="0" applyNumberFormat="1" applyFont="1" applyFill="1" applyBorder="1" applyAlignment="1"/>
    <xf numFmtId="1" fontId="108" fillId="0" borderId="65" xfId="0" applyNumberFormat="1" applyFont="1" applyFill="1" applyBorder="1" applyAlignment="1">
      <alignment horizontal="right"/>
    </xf>
    <xf numFmtId="2" fontId="105" fillId="0" borderId="65" xfId="0" applyNumberFormat="1" applyFont="1" applyFill="1" applyBorder="1" applyAlignment="1">
      <alignment horizontal="left"/>
    </xf>
    <xf numFmtId="1" fontId="108" fillId="0" borderId="65" xfId="0" applyNumberFormat="1" applyFont="1" applyFill="1" applyBorder="1" applyAlignment="1"/>
    <xf numFmtId="9" fontId="105" fillId="0" borderId="65" xfId="2" applyFont="1" applyFill="1" applyBorder="1" applyAlignment="1">
      <alignment horizontal="right"/>
    </xf>
    <xf numFmtId="2" fontId="105" fillId="0" borderId="66" xfId="0" applyNumberFormat="1" applyFont="1" applyFill="1" applyBorder="1" applyAlignment="1"/>
    <xf numFmtId="2" fontId="105" fillId="24" borderId="66" xfId="0" applyNumberFormat="1" applyFont="1" applyFill="1" applyBorder="1" applyAlignment="1">
      <alignment horizontal="right"/>
    </xf>
    <xf numFmtId="1" fontId="107" fillId="0" borderId="65" xfId="0" applyNumberFormat="1" applyFont="1" applyFill="1" applyBorder="1" applyAlignment="1">
      <alignment horizontal="right"/>
    </xf>
    <xf numFmtId="1" fontId="105" fillId="0" borderId="65" xfId="0" applyNumberFormat="1" applyFont="1" applyFill="1" applyBorder="1" applyAlignment="1"/>
    <xf numFmtId="1" fontId="109" fillId="0" borderId="65" xfId="0" applyNumberFormat="1" applyFont="1" applyFill="1" applyBorder="1" applyAlignment="1"/>
    <xf numFmtId="2" fontId="108" fillId="0" borderId="65" xfId="0" applyNumberFormat="1" applyFont="1" applyFill="1" applyBorder="1" applyAlignment="1">
      <alignment horizontal="right"/>
    </xf>
    <xf numFmtId="2" fontId="108" fillId="0" borderId="66" xfId="0" applyNumberFormat="1" applyFont="1" applyFill="1" applyBorder="1" applyAlignment="1">
      <alignment horizontal="right"/>
    </xf>
    <xf numFmtId="2" fontId="146" fillId="0" borderId="63" xfId="0" applyNumberFormat="1" applyFont="1" applyBorder="1" applyAlignment="1">
      <alignment vertical="center"/>
    </xf>
    <xf numFmtId="2" fontId="146" fillId="0" borderId="64" xfId="0" applyNumberFormat="1" applyFont="1" applyBorder="1" applyAlignment="1">
      <alignment vertical="center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4" fontId="134" fillId="0" borderId="88" xfId="0" applyNumberFormat="1" applyFont="1" applyFill="1" applyBorder="1" applyAlignment="1"/>
    <xf numFmtId="2" fontId="5" fillId="0" borderId="0" xfId="0" applyNumberFormat="1" applyFont="1" applyFill="1" applyAlignment="1">
      <alignment horizontal="center"/>
    </xf>
    <xf numFmtId="2" fontId="50" fillId="0" borderId="0" xfId="0" applyNumberFormat="1" applyFont="1" applyFill="1" applyAlignment="1"/>
    <xf numFmtId="2" fontId="51" fillId="24" borderId="0" xfId="0" applyNumberFormat="1" applyFont="1" applyFill="1" applyAlignment="1"/>
    <xf numFmtId="1" fontId="5" fillId="14" borderId="0" xfId="0" applyNumberFormat="1" applyFont="1" applyFill="1" applyBorder="1" applyAlignment="1" applyProtection="1">
      <alignment horizontal="center"/>
      <protection locked="0"/>
    </xf>
    <xf numFmtId="1" fontId="137" fillId="15" borderId="0" xfId="0" applyNumberFormat="1" applyFont="1" applyFill="1" applyBorder="1" applyAlignment="1" applyProtection="1">
      <protection locked="0"/>
    </xf>
    <xf numFmtId="1" fontId="1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/>
      <protection locked="0"/>
    </xf>
    <xf numFmtId="1" fontId="14" fillId="18" borderId="0" xfId="0" applyNumberFormat="1" applyFont="1" applyFill="1" applyBorder="1" applyAlignment="1">
      <alignment horizontal="center"/>
    </xf>
    <xf numFmtId="1" fontId="5" fillId="18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ont="1" applyAlignment="1"/>
    <xf numFmtId="2" fontId="48" fillId="0" borderId="0" xfId="0" applyNumberFormat="1" applyFont="1" applyAlignment="1"/>
    <xf numFmtId="2" fontId="5" fillId="2" borderId="0" xfId="0" applyNumberFormat="1" applyFont="1" applyFill="1" applyAlignment="1">
      <alignment horizontal="center"/>
    </xf>
    <xf numFmtId="17" fontId="7" fillId="0" borderId="0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protection locked="0"/>
    </xf>
    <xf numFmtId="3" fontId="7" fillId="0" borderId="0" xfId="2" applyNumberFormat="1" applyFont="1" applyFill="1" applyBorder="1" applyAlignment="1" applyProtection="1">
      <protection locked="0"/>
    </xf>
    <xf numFmtId="1" fontId="144" fillId="0" borderId="0" xfId="0" applyNumberFormat="1" applyFont="1" applyFill="1" applyBorder="1" applyAlignment="1" applyProtection="1">
      <protection locked="0"/>
    </xf>
    <xf numFmtId="9" fontId="145" fillId="0" borderId="0" xfId="2" applyFont="1" applyFill="1" applyBorder="1" applyAlignment="1" applyProtection="1">
      <protection locked="0"/>
    </xf>
    <xf numFmtId="10" fontId="7" fillId="0" borderId="0" xfId="2" applyNumberFormat="1" applyFont="1" applyFill="1" applyBorder="1" applyAlignment="1" applyProtection="1">
      <protection locked="0"/>
    </xf>
    <xf numFmtId="2" fontId="5" fillId="0" borderId="0" xfId="0" applyNumberFormat="1" applyFont="1" applyFill="1" applyBorder="1" applyAlignment="1">
      <alignment horizontal="center"/>
    </xf>
    <xf numFmtId="1" fontId="7" fillId="42" borderId="113" xfId="0" applyNumberFormat="1" applyFont="1" applyFill="1" applyBorder="1" applyAlignment="1" applyProtection="1">
      <protection locked="0"/>
    </xf>
    <xf numFmtId="17" fontId="7" fillId="42" borderId="114" xfId="0" applyNumberFormat="1" applyFont="1" applyFill="1" applyBorder="1" applyAlignment="1" applyProtection="1">
      <protection locked="0"/>
    </xf>
    <xf numFmtId="3" fontId="7" fillId="42" borderId="114" xfId="0" applyNumberFormat="1" applyFont="1" applyFill="1" applyBorder="1" applyAlignment="1" applyProtection="1">
      <protection locked="0"/>
    </xf>
    <xf numFmtId="2" fontId="7" fillId="42" borderId="115" xfId="0" applyNumberFormat="1" applyFont="1" applyFill="1" applyBorder="1" applyAlignment="1" applyProtection="1">
      <protection locked="0"/>
    </xf>
    <xf numFmtId="1" fontId="7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/>
    <xf numFmtId="2" fontId="127" fillId="0" borderId="0" xfId="0" applyNumberFormat="1" applyFont="1" applyAlignment="1"/>
    <xf numFmtId="2" fontId="112" fillId="0" borderId="0" xfId="0" applyNumberFormat="1" applyFont="1" applyAlignment="1"/>
    <xf numFmtId="2" fontId="1" fillId="0" borderId="89" xfId="0" applyNumberFormat="1" applyFont="1" applyFill="1" applyBorder="1" applyAlignment="1"/>
    <xf numFmtId="2" fontId="0" fillId="0" borderId="90" xfId="0" applyNumberFormat="1" applyFont="1" applyFill="1" applyBorder="1" applyAlignment="1"/>
    <xf numFmtId="2" fontId="14" fillId="0" borderId="92" xfId="0" applyNumberFormat="1" applyFont="1" applyBorder="1" applyAlignment="1"/>
    <xf numFmtId="2" fontId="32" fillId="0" borderId="26" xfId="0" applyNumberFormat="1" applyFont="1" applyBorder="1"/>
    <xf numFmtId="2" fontId="46" fillId="14" borderId="94" xfId="0" applyNumberFormat="1" applyFont="1" applyFill="1" applyBorder="1" applyAlignment="1"/>
    <xf numFmtId="2" fontId="0" fillId="0" borderId="0" xfId="0" applyNumberFormat="1" applyFont="1" applyBorder="1" applyAlignment="1"/>
    <xf numFmtId="2" fontId="48" fillId="0" borderId="94" xfId="0" applyNumberFormat="1" applyFont="1" applyBorder="1" applyAlignment="1"/>
    <xf numFmtId="2" fontId="7" fillId="0" borderId="96" xfId="0" applyNumberFormat="1" applyFont="1" applyBorder="1" applyAlignment="1">
      <alignment horizontal="left"/>
    </xf>
    <xf numFmtId="2" fontId="32" fillId="0" borderId="2" xfId="0" applyNumberFormat="1" applyFont="1" applyBorder="1"/>
    <xf numFmtId="2" fontId="1" fillId="0" borderId="51" xfId="0" applyNumberFormat="1" applyFont="1" applyBorder="1" applyAlignment="1"/>
    <xf numFmtId="2" fontId="0" fillId="0" borderId="0" xfId="0" applyNumberFormat="1" applyFont="1" applyAlignment="1"/>
    <xf numFmtId="2" fontId="107" fillId="0" borderId="0" xfId="0" applyNumberFormat="1" applyFont="1" applyAlignment="1"/>
    <xf numFmtId="2" fontId="14" fillId="0" borderId="3" xfId="0" applyNumberFormat="1" applyFont="1" applyBorder="1" applyAlignment="1"/>
    <xf numFmtId="2" fontId="15" fillId="0" borderId="0" xfId="0" applyNumberFormat="1" applyFont="1" applyAlignment="1"/>
    <xf numFmtId="2" fontId="28" fillId="4" borderId="24" xfId="0" applyNumberFormat="1" applyFont="1" applyFill="1" applyBorder="1" applyAlignment="1"/>
    <xf numFmtId="2" fontId="7" fillId="0" borderId="24" xfId="0" applyNumberFormat="1" applyFont="1" applyBorder="1" applyAlignment="1"/>
    <xf numFmtId="2" fontId="31" fillId="0" borderId="3" xfId="0" applyNumberFormat="1" applyFont="1" applyBorder="1" applyAlignment="1"/>
    <xf numFmtId="2" fontId="97" fillId="3" borderId="56" xfId="0" applyNumberFormat="1" applyFont="1" applyFill="1" applyBorder="1" applyAlignment="1"/>
    <xf numFmtId="2" fontId="32" fillId="0" borderId="57" xfId="0" applyNumberFormat="1" applyFont="1" applyBorder="1"/>
    <xf numFmtId="2" fontId="98" fillId="23" borderId="0" xfId="0" applyNumberFormat="1" applyFont="1" applyFill="1" applyAlignment="1"/>
    <xf numFmtId="2" fontId="143" fillId="0" borderId="0" xfId="0" applyNumberFormat="1" applyFont="1" applyAlignment="1"/>
    <xf numFmtId="2" fontId="18" fillId="0" borderId="0" xfId="0" applyNumberFormat="1" applyFont="1" applyAlignment="1"/>
    <xf numFmtId="2" fontId="48" fillId="0" borderId="1" xfId="0" applyNumberFormat="1" applyFont="1" applyBorder="1" applyAlignment="1"/>
    <xf numFmtId="2" fontId="32" fillId="0" borderId="1" xfId="0" applyNumberFormat="1" applyFont="1" applyBorder="1"/>
    <xf numFmtId="2" fontId="1" fillId="18" borderId="51" xfId="0" applyNumberFormat="1" applyFont="1" applyFill="1" applyBorder="1" applyAlignment="1"/>
    <xf numFmtId="2" fontId="94" fillId="3" borderId="0" xfId="0" applyNumberFormat="1" applyFont="1" applyFill="1" applyAlignment="1"/>
    <xf numFmtId="2" fontId="39" fillId="0" borderId="0" xfId="0" applyNumberFormat="1" applyFont="1" applyAlignment="1"/>
    <xf numFmtId="2" fontId="48" fillId="0" borderId="0" xfId="0" applyNumberFormat="1" applyFont="1" applyAlignment="1"/>
    <xf numFmtId="2" fontId="25" fillId="3" borderId="54" xfId="0" applyNumberFormat="1" applyFont="1" applyFill="1" applyBorder="1" applyAlignment="1"/>
    <xf numFmtId="2" fontId="32" fillId="0" borderId="21" xfId="0" applyNumberFormat="1" applyFont="1" applyBorder="1"/>
    <xf numFmtId="2" fontId="25" fillId="3" borderId="55" xfId="0" applyNumberFormat="1" applyFont="1" applyFill="1" applyBorder="1" applyAlignment="1"/>
    <xf numFmtId="2" fontId="128" fillId="3" borderId="55" xfId="1" applyNumberFormat="1" applyFont="1" applyFill="1" applyBorder="1" applyAlignment="1"/>
    <xf numFmtId="2" fontId="122" fillId="0" borderId="0" xfId="0" applyNumberFormat="1" applyFont="1" applyAlignment="1"/>
    <xf numFmtId="1" fontId="7" fillId="2" borderId="75" xfId="0" applyNumberFormat="1" applyFont="1" applyFill="1" applyBorder="1" applyAlignment="1">
      <alignment horizontal="right"/>
    </xf>
    <xf numFmtId="1" fontId="7" fillId="0" borderId="75" xfId="0" applyNumberFormat="1" applyFont="1" applyBorder="1" applyAlignment="1">
      <alignment horizontal="right"/>
    </xf>
    <xf numFmtId="1" fontId="7" fillId="19" borderId="75" xfId="0" applyNumberFormat="1" applyFont="1" applyFill="1" applyBorder="1" applyAlignment="1">
      <alignment horizontal="right"/>
    </xf>
    <xf numFmtId="1" fontId="1" fillId="0" borderId="75" xfId="0" applyNumberFormat="1" applyFont="1" applyBorder="1" applyAlignment="1">
      <alignment horizontal="right"/>
    </xf>
    <xf numFmtId="1" fontId="1" fillId="0" borderId="75" xfId="0" applyNumberFormat="1" applyFont="1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68"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FFFF"/>
          <bgColor rgb="FFFFFFFF"/>
        </patternFill>
      </fill>
    </dxf>
  </dxfs>
  <tableStyles count="34">
    <tableStyle name="Recibo-style" pivot="0" count="2">
      <tableStyleElement type="firstRowStripe" dxfId="67"/>
      <tableStyleElement type="secondRowStripe" dxfId="66"/>
    </tableStyle>
    <tableStyle name="Recibo-style 2" pivot="0" count="2">
      <tableStyleElement type="firstRowStripe" dxfId="65"/>
      <tableStyleElement type="secondRowStripe" dxfId="64"/>
    </tableStyle>
    <tableStyle name="Recibo-style 3" pivot="0" count="2">
      <tableStyleElement type="firstRowStripe" dxfId="63"/>
      <tableStyleElement type="secondRowStripe" dxfId="62"/>
    </tableStyle>
    <tableStyle name="Recibo-style 4" pivot="0" count="2">
      <tableStyleElement type="firstRowStripe" dxfId="61"/>
      <tableStyleElement type="secondRowStripe" dxfId="60"/>
    </tableStyle>
    <tableStyle name="Recibo-style 5" pivot="0" count="2">
      <tableStyleElement type="firstRowStripe" dxfId="59"/>
      <tableStyleElement type="secondRowStripe" dxfId="58"/>
    </tableStyle>
    <tableStyle name="Recibo-style 6" pivot="0" count="2">
      <tableStyleElement type="firstRowStripe" dxfId="57"/>
      <tableStyleElement type="secondRowStripe" dxfId="56"/>
    </tableStyle>
    <tableStyle name="Recibo-style 7" pivot="0" count="2">
      <tableStyleElement type="firstRowStripe" dxfId="55"/>
      <tableStyleElement type="secondRowStripe" dxfId="54"/>
    </tableStyle>
    <tableStyle name="Recibo-style 8" pivot="0" count="2">
      <tableStyleElement type="firstRowStripe" dxfId="53"/>
      <tableStyleElement type="secondRowStripe" dxfId="52"/>
    </tableStyle>
    <tableStyle name="Recibo-style 9" pivot="0" count="2">
      <tableStyleElement type="firstRowStripe" dxfId="51"/>
      <tableStyleElement type="secondRowStripe" dxfId="50"/>
    </tableStyle>
    <tableStyle name="Recibo-style 10" pivot="0" count="2">
      <tableStyleElement type="firstRowStripe" dxfId="49"/>
      <tableStyleElement type="secondRowStripe" dxfId="48"/>
    </tableStyle>
    <tableStyle name="Recibo-style 11" pivot="0" count="2">
      <tableStyleElement type="firstRowStripe" dxfId="47"/>
      <tableStyleElement type="secondRowStripe" dxfId="46"/>
    </tableStyle>
    <tableStyle name="Recibo-style 12" pivot="0" count="2">
      <tableStyleElement type="firstRowStripe" dxfId="45"/>
      <tableStyleElement type="secondRowStripe" dxfId="44"/>
    </tableStyle>
    <tableStyle name="Recibo-style 13" pivot="0" count="2">
      <tableStyleElement type="firstRowStripe" dxfId="43"/>
      <tableStyleElement type="secondRowStripe" dxfId="42"/>
    </tableStyle>
    <tableStyle name="Recibo-style 14" pivot="0" count="2">
      <tableStyleElement type="firstRowStripe" dxfId="41"/>
      <tableStyleElement type="secondRowStripe" dxfId="40"/>
    </tableStyle>
    <tableStyle name="Recibo-style 15" pivot="0" count="2">
      <tableStyleElement type="firstRowStripe" dxfId="39"/>
      <tableStyleElement type="secondRowStripe" dxfId="38"/>
    </tableStyle>
    <tableStyle name="Recibo-style 16" pivot="0" count="2">
      <tableStyleElement type="firstRowStripe" dxfId="37"/>
      <tableStyleElement type="secondRowStripe" dxfId="36"/>
    </tableStyle>
    <tableStyle name="Recibo-style 17" pivot="0" count="2">
      <tableStyleElement type="firstRowStripe" dxfId="35"/>
      <tableStyleElement type="secondRowStripe" dxfId="34"/>
    </tableStyle>
    <tableStyle name="Recibo-style 18" pivot="0" count="2">
      <tableStyleElement type="firstRowStripe" dxfId="33"/>
      <tableStyleElement type="secondRowStripe" dxfId="32"/>
    </tableStyle>
    <tableStyle name="Recibo-style 19" pivot="0" count="2">
      <tableStyleElement type="firstRowStripe" dxfId="31"/>
      <tableStyleElement type="secondRowStripe" dxfId="30"/>
    </tableStyle>
    <tableStyle name="Recibo-style 20" pivot="0" count="2">
      <tableStyleElement type="firstRowStripe" dxfId="29"/>
      <tableStyleElement type="secondRowStripe" dxfId="28"/>
    </tableStyle>
    <tableStyle name="Recibo-style 21" pivot="0" count="2">
      <tableStyleElement type="firstRowStripe" dxfId="27"/>
      <tableStyleElement type="secondRowStripe" dxfId="26"/>
    </tableStyle>
    <tableStyle name="Recibo-style 22" pivot="0" count="2">
      <tableStyleElement type="firstRowStripe" dxfId="25"/>
      <tableStyleElement type="secondRowStripe" dxfId="24"/>
    </tableStyle>
    <tableStyle name="Recibo-style 23" pivot="0" count="2">
      <tableStyleElement type="firstRowStripe" dxfId="23"/>
      <tableStyleElement type="secondRowStripe" dxfId="22"/>
    </tableStyle>
    <tableStyle name="Recibo-style 24" pivot="0" count="2">
      <tableStyleElement type="firstRowStripe" dxfId="21"/>
      <tableStyleElement type="secondRowStripe" dxfId="20"/>
    </tableStyle>
    <tableStyle name="Recibo-style 25" pivot="0" count="2">
      <tableStyleElement type="firstRowStripe" dxfId="19"/>
      <tableStyleElement type="secondRowStripe" dxfId="18"/>
    </tableStyle>
    <tableStyle name="Recibo-style 26" pivot="0" count="2">
      <tableStyleElement type="firstRowStripe" dxfId="17"/>
      <tableStyleElement type="secondRowStripe" dxfId="16"/>
    </tableStyle>
    <tableStyle name="Recibo-style 27" pivot="0" count="2">
      <tableStyleElement type="firstRowStripe" dxfId="15"/>
      <tableStyleElement type="secondRowStripe" dxfId="14"/>
    </tableStyle>
    <tableStyle name="Recibo-style 28" pivot="0" count="2">
      <tableStyleElement type="firstRowStripe" dxfId="13"/>
      <tableStyleElement type="secondRowStripe" dxfId="12"/>
    </tableStyle>
    <tableStyle name="Recibo-style 29" pivot="0" count="2">
      <tableStyleElement type="firstRowStripe" dxfId="11"/>
      <tableStyleElement type="secondRowStripe" dxfId="10"/>
    </tableStyle>
    <tableStyle name="Recibo-style 30" pivot="0" count="2">
      <tableStyleElement type="firstRowStripe" dxfId="9"/>
      <tableStyleElement type="secondRowStripe" dxfId="8"/>
    </tableStyle>
    <tableStyle name="Recibo-style 31" pivot="0" count="2">
      <tableStyleElement type="firstRowStripe" dxfId="7"/>
      <tableStyleElement type="secondRowStripe" dxfId="6"/>
    </tableStyle>
    <tableStyle name="Recibo-style 32" pivot="0" count="2">
      <tableStyleElement type="firstRowStripe" dxfId="5"/>
      <tableStyleElement type="secondRowStripe" dxfId="4"/>
    </tableStyle>
    <tableStyle name="Recibo-style 33" pivot="0" count="2">
      <tableStyleElement type="firstRowStripe" dxfId="3"/>
      <tableStyleElement type="secondRowStripe" dxfId="2"/>
    </tableStyle>
    <tableStyle name="Recibo-style 34" pivot="0" count="2">
      <tableStyleElement type="firstRowStripe" dxfId="1"/>
      <tableStyleElement type="secondRowStripe" dxfId="0"/>
    </tableStyle>
  </tableStyles>
  <colors>
    <mruColors>
      <color rgb="FF00FF00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meruruguay.com.ar/" TargetMode="External"/><Relationship Id="rId2" Type="http://schemas.openxmlformats.org/officeDocument/2006/relationships/hyperlink" Target="mailto:huttvictor@gmail.com" TargetMode="External"/><Relationship Id="rId1" Type="http://schemas.openxmlformats.org/officeDocument/2006/relationships/hyperlink" Target="about:blan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victorhutt.com.ar/" TargetMode="External"/><Relationship Id="rId4" Type="http://schemas.openxmlformats.org/officeDocument/2006/relationships/hyperlink" Target="https://www.facebook.com/agmeruruguay-18801588457001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 summaryRight="0"/>
  </sheetPr>
  <dimension ref="A1:BN546"/>
  <sheetViews>
    <sheetView tabSelected="1" zoomScale="70" zoomScaleNormal="70" workbookViewId="0">
      <pane ySplit="1" topLeftCell="A2" activePane="bottomLeft" state="frozen"/>
      <selection activeCell="G1" sqref="G1"/>
      <selection pane="bottomLeft"/>
    </sheetView>
  </sheetViews>
  <sheetFormatPr baseColWidth="10" defaultColWidth="14.42578125" defaultRowHeight="15.75" customHeight="1"/>
  <cols>
    <col min="1" max="1" width="9.42578125" style="62" customWidth="1"/>
    <col min="2" max="2" width="12.42578125" style="62" customWidth="1"/>
    <col min="3" max="3" width="19.7109375" style="62" customWidth="1"/>
    <col min="4" max="4" width="32" style="62" customWidth="1"/>
    <col min="5" max="5" width="24.7109375" style="62" customWidth="1"/>
    <col min="6" max="6" width="20.140625" style="62" customWidth="1"/>
    <col min="7" max="7" width="14.140625" style="62" customWidth="1"/>
    <col min="8" max="8" width="18.42578125" style="62" customWidth="1"/>
    <col min="9" max="9" width="19.42578125" style="62" customWidth="1"/>
    <col min="10" max="10" width="10.28515625" style="62" customWidth="1"/>
    <col min="11" max="11" width="18.5703125" style="62" customWidth="1"/>
    <col min="12" max="12" width="15" style="62" customWidth="1"/>
    <col min="13" max="13" width="10.28515625" style="62" customWidth="1"/>
    <col min="14" max="14" width="18.5703125" style="62" customWidth="1"/>
    <col min="15" max="15" width="18.140625" style="62" customWidth="1"/>
    <col min="16" max="16" width="10.140625" style="62" customWidth="1"/>
    <col min="17" max="17" width="18.5703125" style="62" customWidth="1"/>
    <col min="18" max="18" width="18.140625" style="62" bestFit="1" customWidth="1"/>
    <col min="19" max="19" width="10.5703125" style="62" customWidth="1"/>
    <col min="20" max="20" width="19.28515625" style="62" customWidth="1"/>
    <col min="21" max="21" width="15" style="62" bestFit="1" customWidth="1"/>
    <col min="22" max="22" width="10.28515625" style="62" customWidth="1"/>
    <col min="23" max="23" width="18" style="62" customWidth="1"/>
    <col min="24" max="24" width="15.42578125" style="62" bestFit="1" customWidth="1"/>
    <col min="25" max="25" width="10" style="62" customWidth="1"/>
    <col min="26" max="26" width="18.7109375" style="62" customWidth="1"/>
    <col min="27" max="27" width="15" style="62" bestFit="1" customWidth="1"/>
    <col min="28" max="28" width="10.5703125" style="62" customWidth="1"/>
    <col min="29" max="29" width="20.140625" style="62" bestFit="1" customWidth="1"/>
    <col min="30" max="30" width="15" style="62" bestFit="1" customWidth="1"/>
    <col min="31" max="31" width="14.42578125" style="62"/>
    <col min="32" max="32" width="19.42578125" style="62" customWidth="1"/>
    <col min="33" max="16384" width="14.42578125" style="62"/>
  </cols>
  <sheetData>
    <row r="1" spans="1:46" s="56" customFormat="1" ht="18">
      <c r="A1" s="50"/>
      <c r="B1" s="51"/>
      <c r="C1" s="51"/>
      <c r="D1" s="52"/>
      <c r="E1" s="40">
        <v>44927</v>
      </c>
      <c r="F1" s="823" t="s">
        <v>539</v>
      </c>
      <c r="G1" s="52"/>
      <c r="H1" s="40">
        <v>44896</v>
      </c>
      <c r="I1" s="187" t="s">
        <v>533</v>
      </c>
      <c r="J1" s="708"/>
      <c r="K1" s="40">
        <v>44866</v>
      </c>
      <c r="L1" s="187" t="s">
        <v>519</v>
      </c>
      <c r="M1" s="193"/>
      <c r="N1" s="40">
        <v>44835</v>
      </c>
      <c r="O1" s="187" t="s">
        <v>520</v>
      </c>
      <c r="P1" s="193"/>
      <c r="Q1" s="40">
        <v>44805</v>
      </c>
      <c r="R1" s="187" t="s">
        <v>516</v>
      </c>
      <c r="S1" s="193"/>
      <c r="T1" s="40">
        <v>44774</v>
      </c>
      <c r="U1" s="187" t="s">
        <v>509</v>
      </c>
      <c r="V1" s="193"/>
      <c r="W1" s="40">
        <v>44743</v>
      </c>
      <c r="X1" s="187" t="s">
        <v>495</v>
      </c>
      <c r="Y1" s="193"/>
      <c r="Z1" s="40">
        <v>44682</v>
      </c>
      <c r="AA1" s="187" t="s">
        <v>494</v>
      </c>
      <c r="AB1" s="193"/>
      <c r="AC1" s="40">
        <v>44621</v>
      </c>
      <c r="AD1" s="187" t="s">
        <v>493</v>
      </c>
      <c r="AE1" s="196"/>
      <c r="AF1" s="40">
        <v>44562</v>
      </c>
      <c r="AG1" s="588">
        <v>8.8999999999999996E-2</v>
      </c>
      <c r="AH1" s="53"/>
      <c r="AI1" s="53"/>
      <c r="AJ1" s="53"/>
      <c r="AK1" s="53"/>
      <c r="AL1" s="53"/>
      <c r="AM1" s="53"/>
      <c r="AN1" s="53"/>
    </row>
    <row r="2" spans="1:46" ht="27.75">
      <c r="A2" s="729" t="s">
        <v>0</v>
      </c>
      <c r="B2" s="728"/>
      <c r="C2" s="728"/>
      <c r="D2" s="728"/>
      <c r="E2" s="57"/>
      <c r="F2" s="58"/>
      <c r="G2" s="58"/>
      <c r="H2" s="58"/>
      <c r="I2" s="58"/>
      <c r="J2" s="59"/>
      <c r="K2" s="60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</row>
    <row r="3" spans="1:46" ht="18">
      <c r="A3" s="730" t="s">
        <v>534</v>
      </c>
      <c r="B3" s="730"/>
      <c r="C3" s="730"/>
      <c r="D3" s="730"/>
      <c r="E3" s="358"/>
      <c r="F3" s="358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</row>
    <row r="4" spans="1:46" ht="12.75">
      <c r="A4" s="64"/>
      <c r="B4" s="65"/>
      <c r="C4" s="65"/>
      <c r="D4" s="66"/>
      <c r="E4" s="66"/>
      <c r="F4" s="66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</row>
    <row r="5" spans="1:46">
      <c r="A5" s="67" t="s">
        <v>1</v>
      </c>
      <c r="C5" s="61"/>
      <c r="D5" s="682">
        <v>1</v>
      </c>
      <c r="E5" s="682">
        <v>2</v>
      </c>
      <c r="F5" s="682">
        <v>3</v>
      </c>
      <c r="G5" s="682">
        <v>4</v>
      </c>
      <c r="H5" s="682">
        <v>5</v>
      </c>
      <c r="I5" s="682">
        <v>6</v>
      </c>
      <c r="J5" s="682">
        <v>7</v>
      </c>
      <c r="K5" s="683">
        <v>8</v>
      </c>
      <c r="L5" s="682">
        <v>9</v>
      </c>
      <c r="M5" s="682">
        <v>10</v>
      </c>
      <c r="N5" s="682">
        <v>11</v>
      </c>
      <c r="O5" s="683">
        <v>12</v>
      </c>
      <c r="P5" s="682">
        <v>13</v>
      </c>
      <c r="Q5" s="683">
        <v>14</v>
      </c>
      <c r="R5" s="682">
        <v>15</v>
      </c>
      <c r="S5" s="682">
        <v>16</v>
      </c>
      <c r="T5" s="682">
        <v>17</v>
      </c>
      <c r="U5" s="682">
        <v>18</v>
      </c>
      <c r="V5" s="682">
        <v>19</v>
      </c>
      <c r="W5" s="682">
        <v>20</v>
      </c>
      <c r="X5" s="682">
        <v>21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</row>
    <row r="6" spans="1:46" ht="15">
      <c r="A6" s="62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</row>
    <row r="7" spans="1:46" ht="15">
      <c r="A7" s="852" t="s">
        <v>2</v>
      </c>
      <c r="B7" s="849"/>
      <c r="C7" s="849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</row>
    <row r="8" spans="1:46" ht="18" customHeight="1">
      <c r="A8" s="70"/>
      <c r="B8" s="70"/>
      <c r="C8" s="70"/>
      <c r="D8" s="61"/>
      <c r="E8" s="61"/>
      <c r="F8" s="61"/>
      <c r="G8" s="61"/>
      <c r="H8" s="61"/>
      <c r="I8" s="61"/>
      <c r="J8" s="61"/>
      <c r="K8" s="61"/>
      <c r="L8" s="71"/>
      <c r="M8" s="61"/>
      <c r="N8" s="61"/>
      <c r="O8" s="61"/>
      <c r="P8" s="61"/>
      <c r="Q8" s="40">
        <v>44621</v>
      </c>
      <c r="R8" s="61">
        <v>21.21</v>
      </c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</row>
    <row r="9" spans="1:46" s="685" customFormat="1" ht="18">
      <c r="A9" s="693" t="s">
        <v>3</v>
      </c>
      <c r="B9" s="684"/>
      <c r="C9" s="684"/>
      <c r="D9" s="358"/>
      <c r="E9" s="358"/>
      <c r="F9" s="358"/>
      <c r="G9" s="358"/>
      <c r="H9" s="358"/>
      <c r="I9" s="358"/>
      <c r="J9" s="358"/>
      <c r="K9" s="358"/>
      <c r="L9" s="693"/>
      <c r="M9" s="358"/>
      <c r="N9" s="358"/>
      <c r="O9" s="358"/>
      <c r="P9" s="358"/>
      <c r="Q9" s="40">
        <v>44682</v>
      </c>
      <c r="R9" s="358">
        <v>8.08</v>
      </c>
      <c r="S9" s="61">
        <f>SUM(R5:R9)</f>
        <v>44.29</v>
      </c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</row>
    <row r="10" spans="1:46" ht="15.75" hidden="1" customHeight="1">
      <c r="A10" s="72"/>
      <c r="B10" s="70"/>
      <c r="C10" s="70"/>
      <c r="D10" s="61"/>
      <c r="E10" s="61"/>
      <c r="F10" s="61"/>
      <c r="G10" s="61"/>
      <c r="H10" s="61"/>
      <c r="I10" s="61"/>
      <c r="J10" s="61"/>
      <c r="K10" s="61"/>
      <c r="L10" s="71"/>
      <c r="M10" s="61"/>
      <c r="N10" s="61"/>
      <c r="O10" s="61"/>
      <c r="P10" s="61"/>
      <c r="Q10" s="40" t="s">
        <v>527</v>
      </c>
      <c r="R10" s="61">
        <v>10</v>
      </c>
      <c r="S10" s="61">
        <f>SUM(R6:R10)</f>
        <v>39.29</v>
      </c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</row>
    <row r="11" spans="1:46" ht="23.25" hidden="1">
      <c r="A11" s="70"/>
      <c r="B11" s="61"/>
      <c r="C11" s="61"/>
      <c r="D11" s="61"/>
      <c r="E11" s="61"/>
      <c r="F11" s="61"/>
      <c r="G11" s="61"/>
      <c r="H11" s="61"/>
      <c r="I11" s="61"/>
      <c r="J11" s="70"/>
      <c r="K11" s="70"/>
      <c r="L11" s="70"/>
      <c r="M11" s="61"/>
      <c r="N11" s="71"/>
      <c r="O11" s="71"/>
      <c r="P11" s="61"/>
      <c r="Q11" s="40" t="s">
        <v>528</v>
      </c>
      <c r="R11" s="61">
        <v>10.16</v>
      </c>
      <c r="S11" s="61">
        <f>SUM(R7:R11)</f>
        <v>49.45</v>
      </c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</row>
    <row r="12" spans="1:46" ht="23.25" hidden="1">
      <c r="A12" s="70"/>
      <c r="B12" s="61"/>
      <c r="C12" s="61"/>
      <c r="D12" s="61"/>
      <c r="E12" s="61"/>
      <c r="F12" s="61"/>
      <c r="G12" s="61"/>
      <c r="H12" s="61"/>
      <c r="I12" s="73"/>
      <c r="J12" s="70"/>
      <c r="K12" s="70"/>
      <c r="L12" s="70"/>
      <c r="M12" s="61"/>
      <c r="N12" s="71"/>
      <c r="O12" s="71"/>
      <c r="P12" s="61"/>
      <c r="Q12" s="40">
        <v>44805</v>
      </c>
      <c r="R12" s="61">
        <v>20</v>
      </c>
      <c r="S12" s="61">
        <f>SUM(R8:R12)</f>
        <v>69.45</v>
      </c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</row>
    <row r="13" spans="1:46" ht="23.25" hidden="1">
      <c r="A13" s="70"/>
      <c r="B13" s="61"/>
      <c r="C13" s="61"/>
      <c r="D13" s="61"/>
      <c r="E13" s="61"/>
      <c r="F13" s="61"/>
      <c r="G13" s="61"/>
      <c r="H13" s="61"/>
      <c r="I13" s="61"/>
      <c r="J13" s="70"/>
      <c r="K13" s="70"/>
      <c r="L13" s="61"/>
      <c r="M13" s="71"/>
      <c r="N13" s="61"/>
      <c r="O13" s="61"/>
      <c r="P13" s="61"/>
      <c r="Q13" s="40">
        <v>44835</v>
      </c>
      <c r="R13" s="61">
        <v>7</v>
      </c>
      <c r="S13" s="61">
        <f>SUM(R8:R13)</f>
        <v>76.45</v>
      </c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</row>
    <row r="14" spans="1:46" ht="23.25" hidden="1">
      <c r="A14" s="70"/>
      <c r="B14" s="61"/>
      <c r="C14" s="61"/>
      <c r="D14" s="61"/>
      <c r="E14" s="61"/>
      <c r="F14" s="61"/>
      <c r="G14" s="61"/>
      <c r="H14" s="61"/>
      <c r="I14" s="61"/>
      <c r="J14" s="70"/>
      <c r="K14" s="70"/>
      <c r="L14" s="61"/>
      <c r="M14" s="71"/>
      <c r="N14" s="61"/>
      <c r="O14" s="61"/>
      <c r="P14" s="61"/>
      <c r="Q14" s="40">
        <v>44866</v>
      </c>
      <c r="R14" s="61">
        <v>18</v>
      </c>
      <c r="S14" s="61">
        <f>SUM(R8:R14)</f>
        <v>94.45</v>
      </c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</row>
    <row r="15" spans="1:46" ht="23.25" hidden="1">
      <c r="A15" s="70"/>
      <c r="B15" s="61"/>
      <c r="C15" s="61"/>
      <c r="D15" s="74" t="s">
        <v>4</v>
      </c>
      <c r="E15" s="75"/>
      <c r="F15" s="61"/>
      <c r="G15" s="61"/>
      <c r="H15" s="61"/>
      <c r="I15" s="40">
        <v>44581</v>
      </c>
      <c r="J15" s="70"/>
      <c r="K15" s="70"/>
      <c r="L15" s="40">
        <v>44581</v>
      </c>
      <c r="M15" s="71"/>
      <c r="N15" s="61"/>
      <c r="O15" s="61"/>
      <c r="P15" s="61"/>
      <c r="Q15" s="61"/>
      <c r="R15" s="61"/>
      <c r="S15" s="76">
        <v>44612</v>
      </c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</row>
    <row r="16" spans="1:46" hidden="1">
      <c r="A16" s="70"/>
      <c r="B16" s="61"/>
      <c r="C16" s="61"/>
      <c r="D16" s="77" t="s">
        <v>5</v>
      </c>
      <c r="E16" s="78" t="s">
        <v>6</v>
      </c>
      <c r="F16" s="61"/>
      <c r="G16" s="61"/>
      <c r="H16" s="61"/>
      <c r="I16" s="79" t="s">
        <v>7</v>
      </c>
      <c r="J16" s="80" t="s">
        <v>8</v>
      </c>
      <c r="K16" s="81" t="s">
        <v>9</v>
      </c>
      <c r="L16" s="82" t="s">
        <v>10</v>
      </c>
      <c r="M16" s="83" t="s">
        <v>11</v>
      </c>
      <c r="N16" s="82" t="s">
        <v>12</v>
      </c>
      <c r="O16" s="82" t="s">
        <v>13</v>
      </c>
      <c r="P16" s="82" t="s">
        <v>14</v>
      </c>
      <c r="Q16" s="82" t="s">
        <v>15</v>
      </c>
      <c r="R16" s="84" t="s">
        <v>16</v>
      </c>
      <c r="S16" s="84">
        <v>1</v>
      </c>
      <c r="T16" s="84">
        <v>2</v>
      </c>
      <c r="U16" s="84">
        <v>3</v>
      </c>
      <c r="V16" s="84">
        <v>4</v>
      </c>
      <c r="W16" s="84">
        <v>5</v>
      </c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</row>
    <row r="17" spans="1:46" hidden="1">
      <c r="A17" s="70"/>
      <c r="B17" s="61"/>
      <c r="C17" s="61"/>
      <c r="D17" s="85">
        <v>0</v>
      </c>
      <c r="E17" s="86">
        <v>0</v>
      </c>
      <c r="F17" s="61"/>
      <c r="G17" s="61"/>
      <c r="H17" s="87">
        <v>0</v>
      </c>
      <c r="I17" s="88">
        <f t="shared" ref="I17:I28" si="0">IF(OR(puntosproljor&lt;620,nina=1),W17,R17)</f>
        <v>4308</v>
      </c>
      <c r="J17" s="89">
        <v>4308</v>
      </c>
      <c r="K17" s="90">
        <v>1834</v>
      </c>
      <c r="L17" s="90">
        <v>0</v>
      </c>
      <c r="M17" s="90">
        <v>0</v>
      </c>
      <c r="N17" s="90">
        <v>0</v>
      </c>
      <c r="O17" s="90">
        <v>0</v>
      </c>
      <c r="P17" s="90">
        <v>3109</v>
      </c>
      <c r="Q17" s="90">
        <v>2321</v>
      </c>
      <c r="R17" s="91">
        <f t="shared" ref="R17:R28" si="1">IF(PUNTOSbasicos&gt;971,Q17,P17)</f>
        <v>3109</v>
      </c>
      <c r="S17" s="91">
        <f t="shared" ref="S17:S28" si="2">IF(PUNTOSbasicos&lt;972,J17,K17)</f>
        <v>4308</v>
      </c>
      <c r="T17" s="91">
        <f t="shared" ref="T17:T28" si="3">IF(PUNTOSbasicos&lt;1170,S17,L17)</f>
        <v>4308</v>
      </c>
      <c r="U17" s="91">
        <f t="shared" ref="U17:U28" si="4">IF(PUNTOSbasicos&lt;1401,T17,M17)</f>
        <v>4308</v>
      </c>
      <c r="V17" s="91">
        <f t="shared" ref="V17:V28" si="5">IF(PUNTOSbasicos&lt;1943,U17,N17)</f>
        <v>4308</v>
      </c>
      <c r="W17" s="91">
        <f t="shared" ref="W17:W28" si="6">IF(PUNTOSbasicos&lt;=2220,V17,O17)</f>
        <v>4308</v>
      </c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</row>
    <row r="18" spans="1:46" hidden="1">
      <c r="A18" s="70"/>
      <c r="B18" s="61"/>
      <c r="C18" s="61"/>
      <c r="D18" s="85">
        <v>1</v>
      </c>
      <c r="E18" s="92">
        <v>0.1</v>
      </c>
      <c r="F18" s="61"/>
      <c r="G18" s="61"/>
      <c r="H18" s="93">
        <v>0.1</v>
      </c>
      <c r="I18" s="88">
        <f t="shared" si="0"/>
        <v>6242</v>
      </c>
      <c r="J18" s="89">
        <v>6242</v>
      </c>
      <c r="K18" s="90">
        <v>1984</v>
      </c>
      <c r="L18" s="90">
        <v>0</v>
      </c>
      <c r="M18" s="90">
        <v>0</v>
      </c>
      <c r="N18" s="90">
        <v>0</v>
      </c>
      <c r="O18" s="90">
        <v>0</v>
      </c>
      <c r="P18" s="90">
        <v>3259</v>
      </c>
      <c r="Q18" s="90">
        <v>2471</v>
      </c>
      <c r="R18" s="91">
        <f t="shared" si="1"/>
        <v>3259</v>
      </c>
      <c r="S18" s="91">
        <f t="shared" si="2"/>
        <v>6242</v>
      </c>
      <c r="T18" s="91">
        <f t="shared" si="3"/>
        <v>6242</v>
      </c>
      <c r="U18" s="91">
        <f t="shared" si="4"/>
        <v>6242</v>
      </c>
      <c r="V18" s="91">
        <f t="shared" si="5"/>
        <v>6242</v>
      </c>
      <c r="W18" s="91">
        <f t="shared" si="6"/>
        <v>6242</v>
      </c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</row>
    <row r="19" spans="1:46" hidden="1">
      <c r="A19" s="70"/>
      <c r="B19" s="61"/>
      <c r="C19" s="61"/>
      <c r="D19" s="85">
        <v>2</v>
      </c>
      <c r="E19" s="92">
        <v>0.15</v>
      </c>
      <c r="F19" s="61"/>
      <c r="G19" s="61"/>
      <c r="H19" s="94">
        <v>0.15</v>
      </c>
      <c r="I19" s="88">
        <f t="shared" si="0"/>
        <v>7454</v>
      </c>
      <c r="J19" s="89">
        <v>7454</v>
      </c>
      <c r="K19" s="90">
        <v>3319</v>
      </c>
      <c r="L19" s="90">
        <v>4197</v>
      </c>
      <c r="M19" s="90">
        <v>3501</v>
      </c>
      <c r="N19" s="90">
        <v>3797</v>
      </c>
      <c r="O19" s="90">
        <v>0</v>
      </c>
      <c r="P19" s="90">
        <v>5193</v>
      </c>
      <c r="Q19" s="90">
        <v>4406</v>
      </c>
      <c r="R19" s="91">
        <f t="shared" si="1"/>
        <v>5193</v>
      </c>
      <c r="S19" s="91">
        <f t="shared" si="2"/>
        <v>7454</v>
      </c>
      <c r="T19" s="91">
        <f t="shared" si="3"/>
        <v>7454</v>
      </c>
      <c r="U19" s="91">
        <f t="shared" si="4"/>
        <v>7454</v>
      </c>
      <c r="V19" s="91">
        <f t="shared" si="5"/>
        <v>7454</v>
      </c>
      <c r="W19" s="91">
        <f t="shared" si="6"/>
        <v>7454</v>
      </c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</row>
    <row r="20" spans="1:46" hidden="1">
      <c r="A20" s="70"/>
      <c r="B20" s="61"/>
      <c r="C20" s="61"/>
      <c r="D20" s="85">
        <v>5</v>
      </c>
      <c r="E20" s="92">
        <v>0.3</v>
      </c>
      <c r="F20" s="61"/>
      <c r="G20" s="61"/>
      <c r="H20" s="94">
        <v>0.3</v>
      </c>
      <c r="I20" s="88">
        <f t="shared" si="0"/>
        <v>7954</v>
      </c>
      <c r="J20" s="89">
        <v>7954</v>
      </c>
      <c r="K20" s="90">
        <v>3532</v>
      </c>
      <c r="L20" s="90">
        <v>4197</v>
      </c>
      <c r="M20" s="90">
        <v>3501</v>
      </c>
      <c r="N20" s="90">
        <v>3797</v>
      </c>
      <c r="O20" s="90">
        <v>0</v>
      </c>
      <c r="P20" s="90">
        <v>7574</v>
      </c>
      <c r="Q20" s="90">
        <v>6340</v>
      </c>
      <c r="R20" s="91">
        <f t="shared" si="1"/>
        <v>7574</v>
      </c>
      <c r="S20" s="91">
        <f t="shared" si="2"/>
        <v>7954</v>
      </c>
      <c r="T20" s="91">
        <f t="shared" si="3"/>
        <v>7954</v>
      </c>
      <c r="U20" s="91">
        <f t="shared" si="4"/>
        <v>7954</v>
      </c>
      <c r="V20" s="91">
        <f t="shared" si="5"/>
        <v>7954</v>
      </c>
      <c r="W20" s="91">
        <f t="shared" si="6"/>
        <v>7954</v>
      </c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</row>
    <row r="21" spans="1:46" hidden="1">
      <c r="A21" s="70"/>
      <c r="B21" s="61"/>
      <c r="C21" s="61"/>
      <c r="D21" s="85">
        <v>7</v>
      </c>
      <c r="E21" s="92">
        <v>0.4</v>
      </c>
      <c r="F21" s="61"/>
      <c r="G21" s="61"/>
      <c r="H21" s="94">
        <v>0.4</v>
      </c>
      <c r="I21" s="88">
        <f t="shared" si="0"/>
        <v>7144</v>
      </c>
      <c r="J21" s="89">
        <v>7144</v>
      </c>
      <c r="K21" s="90">
        <v>3760</v>
      </c>
      <c r="L21" s="90">
        <v>4352</v>
      </c>
      <c r="M21" s="90">
        <v>3605</v>
      </c>
      <c r="N21" s="90">
        <v>3797</v>
      </c>
      <c r="O21" s="90">
        <v>3205</v>
      </c>
      <c r="P21" s="90">
        <v>8470</v>
      </c>
      <c r="Q21" s="90">
        <v>7087</v>
      </c>
      <c r="R21" s="91">
        <f t="shared" si="1"/>
        <v>8470</v>
      </c>
      <c r="S21" s="91">
        <f t="shared" si="2"/>
        <v>7144</v>
      </c>
      <c r="T21" s="91">
        <f t="shared" si="3"/>
        <v>7144</v>
      </c>
      <c r="U21" s="91">
        <f t="shared" si="4"/>
        <v>7144</v>
      </c>
      <c r="V21" s="91">
        <f t="shared" si="5"/>
        <v>7144</v>
      </c>
      <c r="W21" s="91">
        <f t="shared" si="6"/>
        <v>7144</v>
      </c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</row>
    <row r="22" spans="1:46" hidden="1">
      <c r="A22" s="70"/>
      <c r="B22" s="61"/>
      <c r="C22" s="61"/>
      <c r="D22" s="85">
        <v>10</v>
      </c>
      <c r="E22" s="92">
        <v>0.5</v>
      </c>
      <c r="F22" s="61"/>
      <c r="G22" s="61"/>
      <c r="H22" s="94">
        <v>0.5</v>
      </c>
      <c r="I22" s="88">
        <f t="shared" si="0"/>
        <v>6174</v>
      </c>
      <c r="J22" s="89">
        <v>6174</v>
      </c>
      <c r="K22" s="90">
        <v>4056</v>
      </c>
      <c r="L22" s="90">
        <v>4352</v>
      </c>
      <c r="M22" s="90">
        <v>3605</v>
      </c>
      <c r="N22" s="90">
        <v>3797</v>
      </c>
      <c r="O22" s="90">
        <v>3205</v>
      </c>
      <c r="P22" s="90">
        <v>8990</v>
      </c>
      <c r="Q22" s="90">
        <v>7601</v>
      </c>
      <c r="R22" s="91">
        <f t="shared" si="1"/>
        <v>8990</v>
      </c>
      <c r="S22" s="91">
        <f t="shared" si="2"/>
        <v>6174</v>
      </c>
      <c r="T22" s="91">
        <f t="shared" si="3"/>
        <v>6174</v>
      </c>
      <c r="U22" s="91">
        <f t="shared" si="4"/>
        <v>6174</v>
      </c>
      <c r="V22" s="91">
        <f t="shared" si="5"/>
        <v>6174</v>
      </c>
      <c r="W22" s="91">
        <f t="shared" si="6"/>
        <v>6174</v>
      </c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</row>
    <row r="23" spans="1:46" hidden="1">
      <c r="A23" s="70"/>
      <c r="B23" s="61"/>
      <c r="C23" s="61"/>
      <c r="D23" s="85">
        <v>12</v>
      </c>
      <c r="E23" s="92">
        <v>0.6</v>
      </c>
      <c r="F23" s="61"/>
      <c r="G23" s="61"/>
      <c r="H23" s="94">
        <v>0.6</v>
      </c>
      <c r="I23" s="88">
        <f t="shared" si="0"/>
        <v>6211</v>
      </c>
      <c r="J23" s="89">
        <v>6211</v>
      </c>
      <c r="K23" s="90">
        <v>4493</v>
      </c>
      <c r="L23" s="90">
        <v>4493</v>
      </c>
      <c r="M23" s="90">
        <v>3655</v>
      </c>
      <c r="N23" s="90">
        <v>3941</v>
      </c>
      <c r="O23" s="90">
        <v>3492</v>
      </c>
      <c r="P23" s="90">
        <v>9509</v>
      </c>
      <c r="Q23" s="90">
        <v>7830</v>
      </c>
      <c r="R23" s="91">
        <f t="shared" si="1"/>
        <v>9509</v>
      </c>
      <c r="S23" s="91">
        <f t="shared" si="2"/>
        <v>6211</v>
      </c>
      <c r="T23" s="91">
        <f t="shared" si="3"/>
        <v>6211</v>
      </c>
      <c r="U23" s="91">
        <f t="shared" si="4"/>
        <v>6211</v>
      </c>
      <c r="V23" s="91">
        <f t="shared" si="5"/>
        <v>6211</v>
      </c>
      <c r="W23" s="91">
        <f t="shared" si="6"/>
        <v>6211</v>
      </c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</row>
    <row r="24" spans="1:46" hidden="1">
      <c r="A24" s="70"/>
      <c r="B24" s="61"/>
      <c r="C24" s="61"/>
      <c r="D24" s="85">
        <v>15</v>
      </c>
      <c r="E24" s="92">
        <v>0.7</v>
      </c>
      <c r="F24" s="61"/>
      <c r="G24" s="61"/>
      <c r="H24" s="94">
        <v>0.7</v>
      </c>
      <c r="I24" s="88">
        <f t="shared" si="0"/>
        <v>5924</v>
      </c>
      <c r="J24" s="89">
        <v>5924</v>
      </c>
      <c r="K24" s="90">
        <v>4861</v>
      </c>
      <c r="L24" s="90">
        <v>6035</v>
      </c>
      <c r="M24" s="90">
        <v>4056</v>
      </c>
      <c r="N24" s="90">
        <v>3941</v>
      </c>
      <c r="O24" s="90">
        <v>3492</v>
      </c>
      <c r="P24" s="90">
        <v>9736</v>
      </c>
      <c r="Q24" s="90">
        <v>8057</v>
      </c>
      <c r="R24" s="91">
        <f t="shared" si="1"/>
        <v>9736</v>
      </c>
      <c r="S24" s="91">
        <f t="shared" si="2"/>
        <v>5924</v>
      </c>
      <c r="T24" s="91">
        <f t="shared" si="3"/>
        <v>5924</v>
      </c>
      <c r="U24" s="91">
        <f t="shared" si="4"/>
        <v>5924</v>
      </c>
      <c r="V24" s="91">
        <f t="shared" si="5"/>
        <v>5924</v>
      </c>
      <c r="W24" s="91">
        <f t="shared" si="6"/>
        <v>5924</v>
      </c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</row>
    <row r="25" spans="1:46" hidden="1">
      <c r="A25" s="70"/>
      <c r="B25" s="61"/>
      <c r="C25" s="61"/>
      <c r="D25" s="85">
        <v>17</v>
      </c>
      <c r="E25" s="92">
        <v>0.8</v>
      </c>
      <c r="F25" s="61"/>
      <c r="G25" s="61"/>
      <c r="H25" s="94">
        <v>0.8</v>
      </c>
      <c r="I25" s="88">
        <f t="shared" si="0"/>
        <v>7185</v>
      </c>
      <c r="J25" s="89">
        <v>7185</v>
      </c>
      <c r="K25" s="90">
        <v>5749</v>
      </c>
      <c r="L25" s="90">
        <v>6491</v>
      </c>
      <c r="M25" s="90">
        <v>5671</v>
      </c>
      <c r="N25" s="90">
        <v>5262</v>
      </c>
      <c r="O25" s="90">
        <v>3797</v>
      </c>
      <c r="P25" s="90">
        <v>10173</v>
      </c>
      <c r="Q25" s="90">
        <v>8203</v>
      </c>
      <c r="R25" s="91">
        <f t="shared" si="1"/>
        <v>10173</v>
      </c>
      <c r="S25" s="91">
        <f t="shared" si="2"/>
        <v>7185</v>
      </c>
      <c r="T25" s="91">
        <f t="shared" si="3"/>
        <v>7185</v>
      </c>
      <c r="U25" s="91">
        <f t="shared" si="4"/>
        <v>7185</v>
      </c>
      <c r="V25" s="91">
        <f t="shared" si="5"/>
        <v>7185</v>
      </c>
      <c r="W25" s="91">
        <f t="shared" si="6"/>
        <v>7185</v>
      </c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</row>
    <row r="26" spans="1:46" hidden="1">
      <c r="A26" s="70"/>
      <c r="B26" s="61"/>
      <c r="C26" s="61"/>
      <c r="D26" s="85">
        <v>20</v>
      </c>
      <c r="E26" s="92">
        <v>1</v>
      </c>
      <c r="F26" s="61"/>
      <c r="G26" s="61"/>
      <c r="H26" s="94">
        <v>1</v>
      </c>
      <c r="I26" s="88">
        <f t="shared" si="0"/>
        <v>9001</v>
      </c>
      <c r="J26" s="89">
        <v>9001</v>
      </c>
      <c r="K26" s="90">
        <v>7069</v>
      </c>
      <c r="L26" s="90">
        <v>6704</v>
      </c>
      <c r="M26" s="90">
        <v>5526</v>
      </c>
      <c r="N26" s="90">
        <v>5708</v>
      </c>
      <c r="O26" s="90">
        <v>3797</v>
      </c>
      <c r="P26" s="90">
        <v>10701</v>
      </c>
      <c r="Q26" s="90">
        <v>8421</v>
      </c>
      <c r="R26" s="91">
        <f t="shared" si="1"/>
        <v>10701</v>
      </c>
      <c r="S26" s="91">
        <f t="shared" si="2"/>
        <v>9001</v>
      </c>
      <c r="T26" s="91">
        <f t="shared" si="3"/>
        <v>9001</v>
      </c>
      <c r="U26" s="91">
        <f t="shared" si="4"/>
        <v>9001</v>
      </c>
      <c r="V26" s="91">
        <f t="shared" si="5"/>
        <v>9001</v>
      </c>
      <c r="W26" s="91">
        <f t="shared" si="6"/>
        <v>9001</v>
      </c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</row>
    <row r="27" spans="1:46" hidden="1">
      <c r="A27" s="70"/>
      <c r="B27" s="61"/>
      <c r="C27" s="61"/>
      <c r="D27" s="85">
        <v>22</v>
      </c>
      <c r="E27" s="92">
        <v>1.1000000000000001</v>
      </c>
      <c r="F27" s="61"/>
      <c r="G27" s="61"/>
      <c r="H27" s="94">
        <v>1.1000000000000001</v>
      </c>
      <c r="I27" s="88">
        <f t="shared" si="0"/>
        <v>10116</v>
      </c>
      <c r="J27" s="89">
        <v>10116</v>
      </c>
      <c r="K27" s="90">
        <v>7961</v>
      </c>
      <c r="L27" s="90">
        <v>7005</v>
      </c>
      <c r="M27" s="90">
        <v>5526</v>
      </c>
      <c r="N27" s="90">
        <v>5858</v>
      </c>
      <c r="O27" s="90">
        <v>3941</v>
      </c>
      <c r="P27" s="90">
        <v>11069</v>
      </c>
      <c r="Q27" s="90">
        <v>8643</v>
      </c>
      <c r="R27" s="91">
        <f t="shared" si="1"/>
        <v>11069</v>
      </c>
      <c r="S27" s="91">
        <f t="shared" si="2"/>
        <v>10116</v>
      </c>
      <c r="T27" s="91">
        <f t="shared" si="3"/>
        <v>10116</v>
      </c>
      <c r="U27" s="91">
        <f t="shared" si="4"/>
        <v>10116</v>
      </c>
      <c r="V27" s="91">
        <f t="shared" si="5"/>
        <v>10116</v>
      </c>
      <c r="W27" s="91">
        <f t="shared" si="6"/>
        <v>10116</v>
      </c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</row>
    <row r="28" spans="1:46" hidden="1">
      <c r="A28" s="70"/>
      <c r="B28" s="61"/>
      <c r="C28" s="61"/>
      <c r="D28" s="85">
        <v>24</v>
      </c>
      <c r="E28" s="92">
        <v>1.2</v>
      </c>
      <c r="F28" s="61"/>
      <c r="G28" s="61"/>
      <c r="H28" s="94">
        <v>1.2</v>
      </c>
      <c r="I28" s="88">
        <f t="shared" si="0"/>
        <v>10471</v>
      </c>
      <c r="J28" s="89">
        <v>10471</v>
      </c>
      <c r="K28" s="90">
        <v>8180</v>
      </c>
      <c r="L28" s="90">
        <v>7734</v>
      </c>
      <c r="M28" s="90">
        <v>5599</v>
      </c>
      <c r="N28" s="90">
        <v>6004</v>
      </c>
      <c r="O28" s="90">
        <v>3941</v>
      </c>
      <c r="P28" s="90">
        <v>11143</v>
      </c>
      <c r="Q28" s="90">
        <v>8726</v>
      </c>
      <c r="R28" s="91">
        <f t="shared" si="1"/>
        <v>11143</v>
      </c>
      <c r="S28" s="91">
        <f t="shared" si="2"/>
        <v>10471</v>
      </c>
      <c r="T28" s="91">
        <f t="shared" si="3"/>
        <v>10471</v>
      </c>
      <c r="U28" s="91">
        <f t="shared" si="4"/>
        <v>10471</v>
      </c>
      <c r="V28" s="91">
        <f t="shared" si="5"/>
        <v>10471</v>
      </c>
      <c r="W28" s="91">
        <f t="shared" si="6"/>
        <v>10471</v>
      </c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</row>
    <row r="29" spans="1:46" hidden="1">
      <c r="A29" s="70"/>
      <c r="B29" s="61"/>
      <c r="C29" s="61"/>
      <c r="D29" s="95"/>
      <c r="E29" s="95"/>
      <c r="F29" s="61"/>
      <c r="G29" s="61"/>
      <c r="H29" s="96"/>
      <c r="I29" s="97"/>
      <c r="J29" s="98"/>
      <c r="K29" s="98"/>
      <c r="L29" s="98"/>
      <c r="M29" s="98"/>
      <c r="N29" s="98"/>
      <c r="O29" s="98"/>
      <c r="P29" s="98"/>
      <c r="Q29" s="98"/>
      <c r="R29" s="69"/>
      <c r="S29" s="69"/>
      <c r="T29" s="69"/>
      <c r="U29" s="69"/>
      <c r="V29" s="69"/>
      <c r="W29" s="69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</row>
    <row r="30" spans="1:46" hidden="1">
      <c r="A30" s="70"/>
      <c r="B30" s="61"/>
      <c r="C30" s="61"/>
      <c r="D30" s="95"/>
      <c r="E30" s="95"/>
      <c r="F30" s="61"/>
      <c r="G30" s="61"/>
      <c r="H30" s="87">
        <v>0</v>
      </c>
      <c r="I30" s="97"/>
      <c r="J30" s="99">
        <v>5000</v>
      </c>
      <c r="K30" s="99">
        <v>5000</v>
      </c>
      <c r="L30" s="100">
        <v>0</v>
      </c>
      <c r="M30" s="100">
        <v>0</v>
      </c>
      <c r="N30" s="100">
        <v>0</v>
      </c>
      <c r="O30" s="100">
        <v>0</v>
      </c>
      <c r="P30" s="101">
        <v>4374</v>
      </c>
      <c r="Q30" s="101">
        <v>4375</v>
      </c>
      <c r="R30" s="69"/>
      <c r="S30" s="69"/>
      <c r="T30" s="69"/>
      <c r="U30" s="69"/>
      <c r="V30" s="69"/>
      <c r="W30" s="69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</row>
    <row r="31" spans="1:46" hidden="1">
      <c r="A31" s="70"/>
      <c r="B31" s="61"/>
      <c r="C31" s="61"/>
      <c r="D31" s="95"/>
      <c r="E31" s="95"/>
      <c r="F31" s="61"/>
      <c r="G31" s="61"/>
      <c r="H31" s="93">
        <v>0.1</v>
      </c>
      <c r="I31" s="97"/>
      <c r="J31" s="99">
        <v>5001</v>
      </c>
      <c r="K31" s="99">
        <v>5000</v>
      </c>
      <c r="L31" s="100">
        <v>0</v>
      </c>
      <c r="M31" s="100">
        <v>0</v>
      </c>
      <c r="N31" s="100">
        <v>0</v>
      </c>
      <c r="O31" s="100">
        <v>0</v>
      </c>
      <c r="P31" s="101">
        <v>4375</v>
      </c>
      <c r="Q31" s="101">
        <v>4376</v>
      </c>
      <c r="R31" s="69"/>
      <c r="S31" s="69"/>
      <c r="T31" s="69"/>
      <c r="U31" s="69"/>
      <c r="V31" s="69"/>
      <c r="W31" s="69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</row>
    <row r="32" spans="1:46" hidden="1">
      <c r="A32" s="70"/>
      <c r="B32" s="61"/>
      <c r="C32" s="61"/>
      <c r="D32" s="95"/>
      <c r="E32" s="95"/>
      <c r="F32" s="61"/>
      <c r="G32" s="61"/>
      <c r="H32" s="94">
        <v>0.15</v>
      </c>
      <c r="I32" s="97"/>
      <c r="J32" s="99">
        <v>5000</v>
      </c>
      <c r="K32" s="99">
        <v>5000</v>
      </c>
      <c r="L32" s="101">
        <v>5000</v>
      </c>
      <c r="M32" s="101">
        <v>4375</v>
      </c>
      <c r="N32" s="101">
        <v>4375</v>
      </c>
      <c r="O32" s="100">
        <v>0</v>
      </c>
      <c r="P32" s="101">
        <v>4376</v>
      </c>
      <c r="Q32" s="101">
        <v>4375</v>
      </c>
      <c r="R32" s="69"/>
      <c r="S32" s="69"/>
      <c r="T32" s="69"/>
      <c r="U32" s="69"/>
      <c r="V32" s="69"/>
      <c r="W32" s="69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</row>
    <row r="33" spans="1:46" hidden="1">
      <c r="A33" s="70"/>
      <c r="B33" s="61"/>
      <c r="C33" s="61"/>
      <c r="D33" s="95"/>
      <c r="E33" s="95"/>
      <c r="F33" s="61"/>
      <c r="G33" s="61"/>
      <c r="H33" s="94">
        <v>0.3</v>
      </c>
      <c r="I33" s="97"/>
      <c r="J33" s="99">
        <v>5000</v>
      </c>
      <c r="K33" s="99">
        <v>5000</v>
      </c>
      <c r="L33" s="101">
        <v>5000</v>
      </c>
      <c r="M33" s="101">
        <v>4375</v>
      </c>
      <c r="N33" s="101">
        <v>4375</v>
      </c>
      <c r="O33" s="100">
        <v>0</v>
      </c>
      <c r="P33" s="101">
        <v>4376</v>
      </c>
      <c r="Q33" s="101">
        <v>4376</v>
      </c>
      <c r="R33" s="69"/>
      <c r="S33" s="69"/>
      <c r="T33" s="69"/>
      <c r="U33" s="69"/>
      <c r="V33" s="69"/>
      <c r="W33" s="69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</row>
    <row r="34" spans="1:46" hidden="1">
      <c r="A34" s="70"/>
      <c r="B34" s="61"/>
      <c r="C34" s="61"/>
      <c r="D34" s="95"/>
      <c r="E34" s="95"/>
      <c r="F34" s="61"/>
      <c r="G34" s="61"/>
      <c r="H34" s="94">
        <v>0.4</v>
      </c>
      <c r="I34" s="97"/>
      <c r="J34" s="99">
        <v>5001</v>
      </c>
      <c r="K34" s="99">
        <v>4999</v>
      </c>
      <c r="L34" s="99">
        <v>4375</v>
      </c>
      <c r="M34" s="101">
        <v>4375</v>
      </c>
      <c r="N34" s="101">
        <v>4375</v>
      </c>
      <c r="O34" s="101">
        <v>4374</v>
      </c>
      <c r="P34" s="101">
        <v>4376</v>
      </c>
      <c r="Q34" s="100">
        <v>3751</v>
      </c>
      <c r="R34" s="69"/>
      <c r="S34" s="69"/>
      <c r="T34" s="69"/>
      <c r="U34" s="69"/>
      <c r="V34" s="69"/>
      <c r="W34" s="69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</row>
    <row r="35" spans="1:46" hidden="1">
      <c r="A35" s="70"/>
      <c r="B35" s="61"/>
      <c r="C35" s="61"/>
      <c r="D35" s="95"/>
      <c r="E35" s="95"/>
      <c r="F35" s="61"/>
      <c r="G35" s="61"/>
      <c r="H35" s="94">
        <v>0.5</v>
      </c>
      <c r="I35" s="97"/>
      <c r="J35" s="99">
        <v>5001</v>
      </c>
      <c r="K35" s="99">
        <v>4999</v>
      </c>
      <c r="L35" s="99">
        <v>4375</v>
      </c>
      <c r="M35" s="101">
        <v>4375</v>
      </c>
      <c r="N35" s="101">
        <v>4375</v>
      </c>
      <c r="O35" s="100">
        <v>3749</v>
      </c>
      <c r="P35" s="101">
        <v>4376</v>
      </c>
      <c r="Q35" s="100">
        <v>3751</v>
      </c>
      <c r="R35" s="69"/>
      <c r="S35" s="69"/>
      <c r="T35" s="69"/>
      <c r="U35" s="69"/>
      <c r="V35" s="69"/>
      <c r="W35" s="69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</row>
    <row r="36" spans="1:46" hidden="1">
      <c r="A36" s="70"/>
      <c r="B36" s="61"/>
      <c r="C36" s="61"/>
      <c r="D36" s="95"/>
      <c r="E36" s="95"/>
      <c r="F36" s="61"/>
      <c r="G36" s="61"/>
      <c r="H36" s="94">
        <v>0.6</v>
      </c>
      <c r="I36" s="97"/>
      <c r="J36" s="99">
        <v>4999</v>
      </c>
      <c r="K36" s="100">
        <v>4375</v>
      </c>
      <c r="L36" s="99">
        <v>4375</v>
      </c>
      <c r="M36" s="101">
        <v>4376</v>
      </c>
      <c r="N36" s="100">
        <v>3651</v>
      </c>
      <c r="O36" s="100">
        <v>3749</v>
      </c>
      <c r="P36" s="101">
        <v>4376</v>
      </c>
      <c r="Q36" s="100">
        <v>3750</v>
      </c>
      <c r="R36" s="69"/>
      <c r="S36" s="69"/>
      <c r="T36" s="69"/>
      <c r="U36" s="69"/>
      <c r="V36" s="69"/>
      <c r="W36" s="69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</row>
    <row r="37" spans="1:46" hidden="1">
      <c r="A37" s="70"/>
      <c r="B37" s="61"/>
      <c r="C37" s="61"/>
      <c r="D37" s="95"/>
      <c r="E37" s="95"/>
      <c r="F37" s="61"/>
      <c r="G37" s="61"/>
      <c r="H37" s="94">
        <v>0.7</v>
      </c>
      <c r="I37" s="97"/>
      <c r="J37" s="100">
        <v>4375</v>
      </c>
      <c r="K37" s="100">
        <v>4376</v>
      </c>
      <c r="L37" s="99">
        <v>4376</v>
      </c>
      <c r="M37" s="100">
        <v>3749</v>
      </c>
      <c r="N37" s="100">
        <v>3651</v>
      </c>
      <c r="O37" s="100">
        <v>3749</v>
      </c>
      <c r="P37" s="100">
        <v>3751</v>
      </c>
      <c r="Q37" s="100">
        <v>3750</v>
      </c>
      <c r="R37" s="69"/>
      <c r="S37" s="69"/>
      <c r="T37" s="69"/>
      <c r="U37" s="69"/>
      <c r="V37" s="69"/>
      <c r="W37" s="69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</row>
    <row r="38" spans="1:46" hidden="1">
      <c r="A38" s="70"/>
      <c r="B38" s="61"/>
      <c r="C38" s="61"/>
      <c r="D38" s="95"/>
      <c r="E38" s="95"/>
      <c r="F38" s="61"/>
      <c r="G38" s="61"/>
      <c r="H38" s="94">
        <v>0.8</v>
      </c>
      <c r="I38" s="97"/>
      <c r="J38" s="100">
        <v>4375</v>
      </c>
      <c r="K38" s="100">
        <v>4376</v>
      </c>
      <c r="L38" s="99">
        <v>4375</v>
      </c>
      <c r="M38" s="100">
        <v>3751</v>
      </c>
      <c r="N38" s="100">
        <v>3751</v>
      </c>
      <c r="O38" s="100">
        <v>3750</v>
      </c>
      <c r="P38" s="100">
        <v>3751</v>
      </c>
      <c r="Q38" s="100">
        <v>3750</v>
      </c>
      <c r="R38" s="69"/>
      <c r="S38" s="69"/>
      <c r="T38" s="69"/>
      <c r="U38" s="69"/>
      <c r="V38" s="69"/>
      <c r="W38" s="69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</row>
    <row r="39" spans="1:46" hidden="1">
      <c r="A39" s="70"/>
      <c r="B39" s="61"/>
      <c r="C39" s="61"/>
      <c r="D39" s="95"/>
      <c r="E39" s="95"/>
      <c r="F39" s="61"/>
      <c r="G39" s="61"/>
      <c r="H39" s="94">
        <v>1</v>
      </c>
      <c r="I39" s="97"/>
      <c r="J39" s="100">
        <v>4376</v>
      </c>
      <c r="K39" s="100">
        <v>4376</v>
      </c>
      <c r="L39" s="99">
        <v>4376</v>
      </c>
      <c r="M39" s="100">
        <v>3750</v>
      </c>
      <c r="N39" s="100">
        <v>3750</v>
      </c>
      <c r="O39" s="100">
        <v>3750</v>
      </c>
      <c r="P39" s="100">
        <v>3751</v>
      </c>
      <c r="Q39" s="100">
        <v>3751</v>
      </c>
      <c r="R39" s="69"/>
      <c r="S39" s="69"/>
      <c r="T39" s="69"/>
      <c r="U39" s="69"/>
      <c r="V39" s="69"/>
      <c r="W39" s="69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</row>
    <row r="40" spans="1:46" hidden="1">
      <c r="A40" s="70"/>
      <c r="B40" s="61"/>
      <c r="C40" s="61"/>
      <c r="D40" s="95"/>
      <c r="E40" s="95"/>
      <c r="F40" s="61"/>
      <c r="G40" s="61"/>
      <c r="H40" s="94">
        <v>1.1000000000000001</v>
      </c>
      <c r="I40" s="97"/>
      <c r="J40" s="100">
        <v>4375</v>
      </c>
      <c r="K40" s="100">
        <v>4375</v>
      </c>
      <c r="L40" s="100">
        <v>3751</v>
      </c>
      <c r="M40" s="100">
        <v>3750</v>
      </c>
      <c r="N40" s="100">
        <v>3750</v>
      </c>
      <c r="O40" s="100">
        <v>3751</v>
      </c>
      <c r="P40" s="100">
        <v>3751</v>
      </c>
      <c r="Q40" s="100">
        <v>3751</v>
      </c>
      <c r="R40" s="69"/>
      <c r="S40" s="69"/>
      <c r="T40" s="69"/>
      <c r="U40" s="69"/>
      <c r="V40" s="69"/>
      <c r="W40" s="69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</row>
    <row r="41" spans="1:46" hidden="1">
      <c r="A41" s="70"/>
      <c r="B41" s="61"/>
      <c r="C41" s="61"/>
      <c r="D41" s="70"/>
      <c r="E41" s="70"/>
      <c r="F41" s="61"/>
      <c r="G41" s="61"/>
      <c r="H41" s="94">
        <v>1.2</v>
      </c>
      <c r="I41" s="97"/>
      <c r="J41" s="100">
        <v>4375</v>
      </c>
      <c r="K41" s="100">
        <v>4375</v>
      </c>
      <c r="L41" s="100">
        <v>3750</v>
      </c>
      <c r="M41" s="100">
        <v>3751</v>
      </c>
      <c r="N41" s="100">
        <v>3750</v>
      </c>
      <c r="O41" s="100">
        <v>3751</v>
      </c>
      <c r="P41" s="100">
        <v>3750</v>
      </c>
      <c r="Q41" s="100">
        <v>3750</v>
      </c>
      <c r="R41" s="69"/>
      <c r="S41" s="69"/>
      <c r="T41" s="69"/>
      <c r="U41" s="69"/>
      <c r="V41" s="69"/>
      <c r="W41" s="69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</row>
    <row r="42" spans="1:46" hidden="1">
      <c r="A42" s="70"/>
      <c r="B42" s="61"/>
      <c r="C42" s="61"/>
      <c r="D42" s="70"/>
      <c r="E42" s="70"/>
      <c r="F42" s="61"/>
      <c r="G42" s="61"/>
      <c r="H42" s="102"/>
      <c r="I42" s="97"/>
      <c r="J42" s="61"/>
      <c r="K42" s="100"/>
      <c r="L42" s="100"/>
      <c r="M42" s="100"/>
      <c r="N42" s="100"/>
      <c r="O42" s="100"/>
      <c r="P42" s="100"/>
      <c r="Q42" s="100"/>
      <c r="R42" s="69"/>
      <c r="S42" s="69"/>
      <c r="T42" s="69"/>
      <c r="U42" s="69"/>
      <c r="V42" s="69"/>
      <c r="W42" s="69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</row>
    <row r="43" spans="1:46" hidden="1">
      <c r="A43" s="70"/>
      <c r="B43" s="61"/>
      <c r="C43" s="61"/>
      <c r="D43" s="70"/>
      <c r="E43" s="70"/>
      <c r="F43" s="61"/>
      <c r="G43" s="61"/>
      <c r="H43" s="102"/>
      <c r="I43" s="97"/>
      <c r="J43" s="100"/>
      <c r="K43" s="100"/>
      <c r="L43" s="100"/>
      <c r="M43" s="100"/>
      <c r="N43" s="100"/>
      <c r="O43" s="100"/>
      <c r="P43" s="100"/>
      <c r="Q43" s="100"/>
      <c r="R43" s="69"/>
      <c r="S43" s="69"/>
      <c r="T43" s="69"/>
      <c r="U43" s="69"/>
      <c r="V43" s="69"/>
      <c r="W43" s="69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</row>
    <row r="44" spans="1:46" ht="23.25" hidden="1">
      <c r="A44" s="70"/>
      <c r="B44" s="61"/>
      <c r="C44" s="61"/>
      <c r="D44" s="70"/>
      <c r="E44" s="70"/>
      <c r="F44" s="61"/>
      <c r="G44" s="61"/>
      <c r="H44" s="61"/>
      <c r="I44" s="40">
        <v>44805</v>
      </c>
      <c r="J44" s="70"/>
      <c r="K44" s="70"/>
      <c r="L44" s="40">
        <v>44613</v>
      </c>
      <c r="M44" s="71"/>
      <c r="N44" s="61"/>
      <c r="O44" s="61"/>
      <c r="P44" s="61"/>
      <c r="Q44" s="61"/>
      <c r="R44" s="61"/>
      <c r="S44" s="76">
        <v>44613</v>
      </c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</row>
    <row r="45" spans="1:46" hidden="1">
      <c r="A45" s="70"/>
      <c r="B45" s="61"/>
      <c r="C45" s="61"/>
      <c r="D45" s="70"/>
      <c r="E45" s="70"/>
      <c r="F45" s="61"/>
      <c r="G45" s="61"/>
      <c r="H45" s="61"/>
      <c r="I45" s="79" t="s">
        <v>7</v>
      </c>
      <c r="J45" s="80" t="s">
        <v>8</v>
      </c>
      <c r="K45" s="81" t="s">
        <v>9</v>
      </c>
      <c r="L45" s="82" t="s">
        <v>10</v>
      </c>
      <c r="M45" s="83" t="s">
        <v>11</v>
      </c>
      <c r="N45" s="82" t="s">
        <v>12</v>
      </c>
      <c r="O45" s="82" t="s">
        <v>13</v>
      </c>
      <c r="P45" s="82" t="s">
        <v>14</v>
      </c>
      <c r="Q45" s="82" t="s">
        <v>15</v>
      </c>
      <c r="R45" s="84" t="s">
        <v>16</v>
      </c>
      <c r="S45" s="84">
        <v>1</v>
      </c>
      <c r="T45" s="84">
        <v>2</v>
      </c>
      <c r="U45" s="84">
        <v>3</v>
      </c>
      <c r="V45" s="84">
        <v>4</v>
      </c>
      <c r="W45" s="84">
        <v>5</v>
      </c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hidden="1">
      <c r="A46" s="70"/>
      <c r="B46" s="61"/>
      <c r="C46" s="61"/>
      <c r="D46" s="70"/>
      <c r="E46" s="70"/>
      <c r="F46" s="61"/>
      <c r="G46" s="61"/>
      <c r="H46" s="87">
        <v>0</v>
      </c>
      <c r="I46" s="88">
        <f t="shared" ref="I46:I57" si="7">IF(OR(puntosproljor&lt;620,nina=1),W46,R46)</f>
        <v>25453</v>
      </c>
      <c r="J46" s="89">
        <v>25453</v>
      </c>
      <c r="K46" s="90">
        <v>18179</v>
      </c>
      <c r="L46" s="90">
        <v>0</v>
      </c>
      <c r="M46" s="90">
        <v>0</v>
      </c>
      <c r="N46" s="90">
        <v>0</v>
      </c>
      <c r="O46" s="90">
        <v>0</v>
      </c>
      <c r="P46" s="90">
        <v>20329</v>
      </c>
      <c r="Q46" s="90">
        <v>18014</v>
      </c>
      <c r="R46" s="91">
        <f t="shared" ref="R46:R57" si="8">IF(PUNTOSbasicos&gt;971,Q46,P46)</f>
        <v>20329</v>
      </c>
      <c r="S46" s="91">
        <f t="shared" ref="S46:S57" si="9">IF(PUNTOSbasicos&lt;972,J46,K46)</f>
        <v>25453</v>
      </c>
      <c r="T46" s="91">
        <f t="shared" ref="T46:T57" si="10">IF(PUNTOSbasicos&lt;1170,S46,L46)</f>
        <v>25453</v>
      </c>
      <c r="U46" s="91">
        <f t="shared" ref="U46:U57" si="11">IF(PUNTOSbasicos&lt;1401,T46,M46)</f>
        <v>25453</v>
      </c>
      <c r="V46" s="91">
        <f t="shared" ref="V46:V57" si="12">IF(PUNTOSbasicos&lt;1943,U46,N46)</f>
        <v>25453</v>
      </c>
      <c r="W46" s="91">
        <f t="shared" ref="W46:W57" si="13">IF(PUNTOSbasicos&lt;=2220,V46,O46)</f>
        <v>25453</v>
      </c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</row>
    <row r="47" spans="1:46" hidden="1">
      <c r="A47" s="70"/>
      <c r="B47" s="61"/>
      <c r="C47" s="61"/>
      <c r="D47" s="70"/>
      <c r="E47" s="70"/>
      <c r="F47" s="61"/>
      <c r="G47" s="61"/>
      <c r="H47" s="93">
        <v>0.1</v>
      </c>
      <c r="I47" s="88">
        <f t="shared" si="7"/>
        <v>31142</v>
      </c>
      <c r="J47" s="89">
        <v>31142</v>
      </c>
      <c r="K47" s="90">
        <v>18621</v>
      </c>
      <c r="L47" s="90">
        <v>0</v>
      </c>
      <c r="M47" s="90">
        <v>0</v>
      </c>
      <c r="N47" s="90">
        <v>0</v>
      </c>
      <c r="O47" s="90">
        <v>0</v>
      </c>
      <c r="P47" s="90">
        <v>20771</v>
      </c>
      <c r="Q47" s="90">
        <v>18455</v>
      </c>
      <c r="R47" s="91">
        <f t="shared" si="8"/>
        <v>20771</v>
      </c>
      <c r="S47" s="91">
        <f t="shared" si="9"/>
        <v>31142</v>
      </c>
      <c r="T47" s="91">
        <f t="shared" si="10"/>
        <v>31142</v>
      </c>
      <c r="U47" s="91">
        <f t="shared" si="11"/>
        <v>31142</v>
      </c>
      <c r="V47" s="91">
        <f t="shared" si="12"/>
        <v>31142</v>
      </c>
      <c r="W47" s="91">
        <f t="shared" si="13"/>
        <v>31142</v>
      </c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</row>
    <row r="48" spans="1:46" hidden="1">
      <c r="A48" s="70"/>
      <c r="B48" s="61"/>
      <c r="C48" s="61"/>
      <c r="D48" s="70"/>
      <c r="E48" s="70"/>
      <c r="F48" s="61"/>
      <c r="G48" s="61"/>
      <c r="H48" s="94">
        <v>0.15</v>
      </c>
      <c r="I48" s="88">
        <f t="shared" si="7"/>
        <v>34703</v>
      </c>
      <c r="J48" s="89">
        <v>34703</v>
      </c>
      <c r="K48" s="90">
        <v>22543</v>
      </c>
      <c r="L48" s="90">
        <v>25127</v>
      </c>
      <c r="M48" s="90">
        <v>21481</v>
      </c>
      <c r="N48" s="90">
        <v>22351</v>
      </c>
      <c r="O48" s="90">
        <v>0</v>
      </c>
      <c r="P48" s="90">
        <v>26460</v>
      </c>
      <c r="Q48" s="90">
        <v>24144</v>
      </c>
      <c r="R48" s="91">
        <f t="shared" si="8"/>
        <v>26460</v>
      </c>
      <c r="S48" s="91">
        <f t="shared" si="9"/>
        <v>34703</v>
      </c>
      <c r="T48" s="91">
        <f t="shared" si="10"/>
        <v>34703</v>
      </c>
      <c r="U48" s="91">
        <f t="shared" si="11"/>
        <v>34703</v>
      </c>
      <c r="V48" s="91">
        <f t="shared" si="12"/>
        <v>34703</v>
      </c>
      <c r="W48" s="91">
        <f t="shared" si="13"/>
        <v>34703</v>
      </c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</row>
    <row r="49" spans="1:46" hidden="1">
      <c r="A49" s="70"/>
      <c r="B49" s="61"/>
      <c r="C49" s="61"/>
      <c r="D49" s="70"/>
      <c r="E49" s="70"/>
      <c r="F49" s="61"/>
      <c r="G49" s="61"/>
      <c r="H49" s="94">
        <v>0.3</v>
      </c>
      <c r="I49" s="88">
        <f t="shared" si="7"/>
        <v>36175</v>
      </c>
      <c r="J49" s="89">
        <v>36175</v>
      </c>
      <c r="K49" s="90">
        <v>23172</v>
      </c>
      <c r="L49" s="90">
        <v>25127</v>
      </c>
      <c r="M49" s="90">
        <v>21481</v>
      </c>
      <c r="N49" s="90">
        <v>22351</v>
      </c>
      <c r="O49" s="90">
        <v>0</v>
      </c>
      <c r="P49" s="90">
        <v>33461</v>
      </c>
      <c r="Q49" s="90">
        <v>29833</v>
      </c>
      <c r="R49" s="91">
        <f t="shared" si="8"/>
        <v>33461</v>
      </c>
      <c r="S49" s="91">
        <f t="shared" si="9"/>
        <v>36175</v>
      </c>
      <c r="T49" s="91">
        <f t="shared" si="10"/>
        <v>36175</v>
      </c>
      <c r="U49" s="91">
        <f t="shared" si="11"/>
        <v>36175</v>
      </c>
      <c r="V49" s="91">
        <f t="shared" si="12"/>
        <v>36175</v>
      </c>
      <c r="W49" s="91">
        <f t="shared" si="13"/>
        <v>36175</v>
      </c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</row>
    <row r="50" spans="1:46" hidden="1">
      <c r="A50" s="70"/>
      <c r="B50" s="61"/>
      <c r="C50" s="61"/>
      <c r="D50" s="70"/>
      <c r="E50" s="70"/>
      <c r="F50" s="61"/>
      <c r="G50" s="61"/>
      <c r="H50" s="94">
        <v>0.4</v>
      </c>
      <c r="I50" s="88">
        <f t="shared" si="7"/>
        <v>33792</v>
      </c>
      <c r="J50" s="89">
        <v>33792</v>
      </c>
      <c r="K50" s="90">
        <v>23842</v>
      </c>
      <c r="L50" s="90">
        <v>23984</v>
      </c>
      <c r="M50" s="90">
        <v>21788</v>
      </c>
      <c r="N50" s="90">
        <v>22351</v>
      </c>
      <c r="O50" s="90">
        <v>20610</v>
      </c>
      <c r="P50" s="90">
        <v>36098</v>
      </c>
      <c r="Q50" s="90">
        <v>30430</v>
      </c>
      <c r="R50" s="91">
        <f t="shared" si="8"/>
        <v>36098</v>
      </c>
      <c r="S50" s="91">
        <f t="shared" si="9"/>
        <v>33792</v>
      </c>
      <c r="T50" s="91">
        <f t="shared" si="10"/>
        <v>33792</v>
      </c>
      <c r="U50" s="91">
        <f t="shared" si="11"/>
        <v>33792</v>
      </c>
      <c r="V50" s="91">
        <f t="shared" si="12"/>
        <v>33792</v>
      </c>
      <c r="W50" s="91">
        <f t="shared" si="13"/>
        <v>33792</v>
      </c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</row>
    <row r="51" spans="1:46" hidden="1">
      <c r="A51" s="70"/>
      <c r="B51" s="61"/>
      <c r="C51" s="61"/>
      <c r="D51" s="70"/>
      <c r="E51" s="70"/>
      <c r="F51" s="61"/>
      <c r="G51" s="61"/>
      <c r="H51" s="94">
        <v>0.5</v>
      </c>
      <c r="I51" s="88">
        <f t="shared" si="7"/>
        <v>30941</v>
      </c>
      <c r="J51" s="89">
        <v>30941</v>
      </c>
      <c r="K51" s="90">
        <v>24712</v>
      </c>
      <c r="L51" s="90">
        <v>23984</v>
      </c>
      <c r="M51" s="90">
        <v>21788</v>
      </c>
      <c r="N51" s="90">
        <v>22351</v>
      </c>
      <c r="O51" s="90">
        <v>19012</v>
      </c>
      <c r="P51" s="90">
        <v>37624</v>
      </c>
      <c r="Q51" s="90">
        <v>31943</v>
      </c>
      <c r="R51" s="91">
        <f t="shared" si="8"/>
        <v>37624</v>
      </c>
      <c r="S51" s="91">
        <f t="shared" si="9"/>
        <v>30941</v>
      </c>
      <c r="T51" s="91">
        <f t="shared" si="10"/>
        <v>30941</v>
      </c>
      <c r="U51" s="91">
        <f t="shared" si="11"/>
        <v>30941</v>
      </c>
      <c r="V51" s="91">
        <f t="shared" si="12"/>
        <v>30941</v>
      </c>
      <c r="W51" s="91">
        <f t="shared" si="13"/>
        <v>30941</v>
      </c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</row>
    <row r="52" spans="1:46" hidden="1">
      <c r="A52" s="70"/>
      <c r="B52" s="61"/>
      <c r="C52" s="61"/>
      <c r="D52" s="70"/>
      <c r="E52" s="70"/>
      <c r="F52" s="61"/>
      <c r="G52" s="61"/>
      <c r="H52" s="94">
        <v>0.6</v>
      </c>
      <c r="I52" s="88">
        <f t="shared" si="7"/>
        <v>31048</v>
      </c>
      <c r="J52" s="89">
        <v>31048</v>
      </c>
      <c r="K52" s="90">
        <v>24399</v>
      </c>
      <c r="L52" s="90">
        <v>24399</v>
      </c>
      <c r="M52" s="90">
        <v>21936</v>
      </c>
      <c r="N52" s="90">
        <v>21181</v>
      </c>
      <c r="O52" s="90">
        <v>19856</v>
      </c>
      <c r="P52" s="90">
        <v>39150</v>
      </c>
      <c r="Q52" s="90">
        <v>32612</v>
      </c>
      <c r="R52" s="91">
        <f t="shared" si="8"/>
        <v>39150</v>
      </c>
      <c r="S52" s="91">
        <f t="shared" si="9"/>
        <v>31048</v>
      </c>
      <c r="T52" s="91">
        <f t="shared" si="10"/>
        <v>31048</v>
      </c>
      <c r="U52" s="91">
        <f t="shared" si="11"/>
        <v>31048</v>
      </c>
      <c r="V52" s="91">
        <f t="shared" si="12"/>
        <v>31048</v>
      </c>
      <c r="W52" s="91">
        <f t="shared" si="13"/>
        <v>31048</v>
      </c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</row>
    <row r="53" spans="1:46" hidden="1">
      <c r="A53" s="70"/>
      <c r="B53" s="61"/>
      <c r="C53" s="61"/>
      <c r="D53" s="70"/>
      <c r="E53" s="70"/>
      <c r="F53" s="61"/>
      <c r="G53" s="61"/>
      <c r="H53" s="94">
        <v>0.7</v>
      </c>
      <c r="I53" s="88">
        <f t="shared" si="7"/>
        <v>28607</v>
      </c>
      <c r="J53" s="89">
        <v>28607</v>
      </c>
      <c r="K53" s="90">
        <v>25483</v>
      </c>
      <c r="L53" s="90">
        <v>28936</v>
      </c>
      <c r="M53" s="90">
        <v>21515</v>
      </c>
      <c r="N53" s="90">
        <v>21181</v>
      </c>
      <c r="O53" s="90">
        <v>19856</v>
      </c>
      <c r="P53" s="90">
        <v>38221</v>
      </c>
      <c r="Q53" s="90">
        <v>33282</v>
      </c>
      <c r="R53" s="91">
        <f t="shared" si="8"/>
        <v>38221</v>
      </c>
      <c r="S53" s="91">
        <f t="shared" si="9"/>
        <v>28607</v>
      </c>
      <c r="T53" s="91">
        <f t="shared" si="10"/>
        <v>28607</v>
      </c>
      <c r="U53" s="91">
        <f t="shared" si="11"/>
        <v>28607</v>
      </c>
      <c r="V53" s="91">
        <f t="shared" si="12"/>
        <v>28607</v>
      </c>
      <c r="W53" s="91">
        <f t="shared" si="13"/>
        <v>28607</v>
      </c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</row>
    <row r="54" spans="1:46" hidden="1">
      <c r="A54" s="70"/>
      <c r="B54" s="61"/>
      <c r="C54" s="61"/>
      <c r="D54" s="70"/>
      <c r="E54" s="70"/>
      <c r="F54" s="61"/>
      <c r="G54" s="61"/>
      <c r="H54" s="94">
        <v>0.8</v>
      </c>
      <c r="I54" s="88">
        <f t="shared" si="7"/>
        <v>32315</v>
      </c>
      <c r="J54" s="89">
        <v>32315</v>
      </c>
      <c r="K54" s="90">
        <v>28093</v>
      </c>
      <c r="L54" s="90">
        <v>30275</v>
      </c>
      <c r="M54" s="90">
        <v>26267</v>
      </c>
      <c r="N54" s="90">
        <v>25063</v>
      </c>
      <c r="O54" s="90">
        <v>20752</v>
      </c>
      <c r="P54" s="90">
        <v>39506</v>
      </c>
      <c r="Q54" s="90">
        <v>33710</v>
      </c>
      <c r="R54" s="91">
        <f t="shared" si="8"/>
        <v>39506</v>
      </c>
      <c r="S54" s="91">
        <f t="shared" si="9"/>
        <v>32315</v>
      </c>
      <c r="T54" s="91">
        <f t="shared" si="10"/>
        <v>32315</v>
      </c>
      <c r="U54" s="91">
        <f t="shared" si="11"/>
        <v>32315</v>
      </c>
      <c r="V54" s="91">
        <f t="shared" si="12"/>
        <v>32315</v>
      </c>
      <c r="W54" s="91">
        <f t="shared" si="13"/>
        <v>32315</v>
      </c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</row>
    <row r="55" spans="1:46" hidden="1">
      <c r="A55" s="70"/>
      <c r="B55" s="61"/>
      <c r="C55" s="61"/>
      <c r="D55" s="70"/>
      <c r="E55" s="70"/>
      <c r="F55" s="61"/>
      <c r="G55" s="61"/>
      <c r="H55" s="94">
        <v>1</v>
      </c>
      <c r="I55" s="88">
        <f t="shared" si="7"/>
        <v>37656</v>
      </c>
      <c r="J55" s="89">
        <v>37656</v>
      </c>
      <c r="K55" s="90">
        <v>31975</v>
      </c>
      <c r="L55" s="90">
        <v>30904</v>
      </c>
      <c r="M55" s="90">
        <v>25839</v>
      </c>
      <c r="N55" s="90">
        <v>26375</v>
      </c>
      <c r="O55" s="90">
        <v>20752</v>
      </c>
      <c r="P55" s="90">
        <v>41059</v>
      </c>
      <c r="Q55" s="90">
        <v>34352</v>
      </c>
      <c r="R55" s="91">
        <f t="shared" si="8"/>
        <v>41059</v>
      </c>
      <c r="S55" s="91">
        <f t="shared" si="9"/>
        <v>37656</v>
      </c>
      <c r="T55" s="91">
        <f t="shared" si="10"/>
        <v>37656</v>
      </c>
      <c r="U55" s="91">
        <f t="shared" si="11"/>
        <v>37656</v>
      </c>
      <c r="V55" s="91">
        <f t="shared" si="12"/>
        <v>37656</v>
      </c>
      <c r="W55" s="91">
        <f t="shared" si="13"/>
        <v>37656</v>
      </c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</row>
    <row r="56" spans="1:46" hidden="1">
      <c r="A56" s="70"/>
      <c r="B56" s="61"/>
      <c r="C56" s="61"/>
      <c r="D56" s="70"/>
      <c r="E56" s="70"/>
      <c r="F56" s="61"/>
      <c r="G56" s="61"/>
      <c r="H56" s="94">
        <v>1.1000000000000001</v>
      </c>
      <c r="I56" s="88">
        <f t="shared" si="7"/>
        <v>40935</v>
      </c>
      <c r="J56" s="89">
        <v>40935</v>
      </c>
      <c r="K56" s="90">
        <v>34599</v>
      </c>
      <c r="L56" s="90">
        <v>30189</v>
      </c>
      <c r="M56" s="90">
        <v>25839</v>
      </c>
      <c r="N56" s="90">
        <v>26816</v>
      </c>
      <c r="O56" s="90">
        <v>21181</v>
      </c>
      <c r="P56" s="90">
        <v>42143</v>
      </c>
      <c r="Q56" s="90">
        <v>35008</v>
      </c>
      <c r="R56" s="91">
        <f t="shared" si="8"/>
        <v>42143</v>
      </c>
      <c r="S56" s="91">
        <f t="shared" si="9"/>
        <v>40935</v>
      </c>
      <c r="T56" s="91">
        <f t="shared" si="10"/>
        <v>40935</v>
      </c>
      <c r="U56" s="91">
        <f t="shared" si="11"/>
        <v>40935</v>
      </c>
      <c r="V56" s="91">
        <f t="shared" si="12"/>
        <v>40935</v>
      </c>
      <c r="W56" s="91">
        <f t="shared" si="13"/>
        <v>40935</v>
      </c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</row>
    <row r="57" spans="1:46" hidden="1">
      <c r="A57" s="70"/>
      <c r="B57" s="61"/>
      <c r="C57" s="61"/>
      <c r="D57" s="70"/>
      <c r="E57" s="70"/>
      <c r="F57" s="61"/>
      <c r="G57" s="61"/>
      <c r="H57" s="94">
        <v>1.2</v>
      </c>
      <c r="I57" s="88">
        <f t="shared" si="7"/>
        <v>41979</v>
      </c>
      <c r="J57" s="89">
        <v>41979</v>
      </c>
      <c r="K57" s="90">
        <v>35241</v>
      </c>
      <c r="L57" s="90">
        <v>32331</v>
      </c>
      <c r="M57" s="90">
        <v>26053</v>
      </c>
      <c r="N57" s="90">
        <v>27245</v>
      </c>
      <c r="O57" s="90">
        <v>21181</v>
      </c>
      <c r="P57" s="90">
        <v>42357</v>
      </c>
      <c r="Q57" s="90">
        <v>35249</v>
      </c>
      <c r="R57" s="91">
        <f t="shared" si="8"/>
        <v>42357</v>
      </c>
      <c r="S57" s="91">
        <f t="shared" si="9"/>
        <v>41979</v>
      </c>
      <c r="T57" s="91">
        <f t="shared" si="10"/>
        <v>41979</v>
      </c>
      <c r="U57" s="91">
        <f t="shared" si="11"/>
        <v>41979</v>
      </c>
      <c r="V57" s="91">
        <f t="shared" si="12"/>
        <v>41979</v>
      </c>
      <c r="W57" s="91">
        <f t="shared" si="13"/>
        <v>41979</v>
      </c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</row>
    <row r="58" spans="1:46" hidden="1">
      <c r="A58" s="70"/>
      <c r="B58" s="61"/>
      <c r="C58" s="61"/>
      <c r="D58" s="70"/>
      <c r="E58" s="70"/>
      <c r="F58" s="61">
        <v>44621</v>
      </c>
      <c r="G58" s="61"/>
      <c r="H58" s="102"/>
      <c r="I58" s="97"/>
      <c r="J58" s="100"/>
      <c r="K58" s="100"/>
      <c r="L58" s="100"/>
      <c r="M58" s="100"/>
      <c r="N58" s="100"/>
      <c r="O58" s="100"/>
      <c r="P58" s="100"/>
      <c r="Q58" s="100"/>
      <c r="R58" s="69"/>
      <c r="S58" s="69"/>
      <c r="T58" s="69"/>
      <c r="U58" s="69"/>
      <c r="V58" s="69"/>
      <c r="W58" s="69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</row>
    <row r="59" spans="1:46" hidden="1">
      <c r="A59" s="70"/>
      <c r="B59" s="61"/>
      <c r="C59" s="61"/>
      <c r="D59" s="70"/>
      <c r="E59" s="70"/>
      <c r="F59" s="61"/>
      <c r="G59" s="61"/>
      <c r="H59" s="102"/>
      <c r="I59" s="97"/>
      <c r="J59" s="100"/>
      <c r="K59" s="100"/>
      <c r="L59" s="100"/>
      <c r="M59" s="100"/>
      <c r="N59" s="100"/>
      <c r="O59" s="100"/>
      <c r="P59" s="100"/>
      <c r="Q59" s="100"/>
      <c r="R59" s="69"/>
      <c r="S59" s="69"/>
      <c r="T59" s="69"/>
      <c r="U59" s="69"/>
      <c r="V59" s="69"/>
      <c r="W59" s="69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</row>
    <row r="60" spans="1:46" hidden="1">
      <c r="A60" s="70"/>
      <c r="B60" s="61"/>
      <c r="C60" s="61"/>
      <c r="D60" s="70"/>
      <c r="E60" s="70"/>
      <c r="F60" s="61"/>
      <c r="G60" s="61"/>
      <c r="H60" s="102"/>
      <c r="I60" s="97"/>
      <c r="J60" s="100">
        <f>J63/J46</f>
        <v>0.55533728833536322</v>
      </c>
      <c r="K60" s="100"/>
      <c r="L60" s="100"/>
      <c r="M60" s="100"/>
      <c r="N60" s="100"/>
      <c r="O60" s="100"/>
      <c r="P60" s="100"/>
      <c r="Q60" s="100"/>
      <c r="R60" s="69"/>
      <c r="S60" s="69"/>
      <c r="T60" s="69"/>
      <c r="U60" s="69"/>
      <c r="V60" s="69"/>
      <c r="W60" s="69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</row>
    <row r="61" spans="1:46" ht="23.25" hidden="1">
      <c r="A61" s="70"/>
      <c r="B61" s="61"/>
      <c r="C61" s="61"/>
      <c r="D61" s="70"/>
      <c r="E61" s="70"/>
      <c r="F61" s="61"/>
      <c r="G61" s="61"/>
      <c r="H61" s="61"/>
      <c r="I61" s="40">
        <v>44896</v>
      </c>
      <c r="J61" s="70"/>
      <c r="K61" s="70"/>
      <c r="L61" s="40">
        <v>44896</v>
      </c>
      <c r="M61" s="71"/>
      <c r="N61" s="61"/>
      <c r="O61" s="76">
        <v>44896</v>
      </c>
      <c r="P61" s="61"/>
      <c r="Q61" s="61"/>
      <c r="R61" s="61"/>
      <c r="S61" s="76">
        <v>44896</v>
      </c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</row>
    <row r="62" spans="1:46" ht="16.5" hidden="1" thickBot="1">
      <c r="A62" s="70"/>
      <c r="B62" s="61"/>
      <c r="C62" s="61"/>
      <c r="D62" s="70"/>
      <c r="E62" s="70"/>
      <c r="F62" s="61"/>
      <c r="G62" s="61"/>
      <c r="H62" s="61"/>
      <c r="I62" s="79" t="s">
        <v>7</v>
      </c>
      <c r="J62" s="80" t="s">
        <v>8</v>
      </c>
      <c r="K62" s="81" t="s">
        <v>9</v>
      </c>
      <c r="L62" s="82" t="s">
        <v>10</v>
      </c>
      <c r="M62" s="83" t="s">
        <v>11</v>
      </c>
      <c r="N62" s="82" t="s">
        <v>12</v>
      </c>
      <c r="O62" s="82" t="s">
        <v>13</v>
      </c>
      <c r="P62" s="82" t="s">
        <v>14</v>
      </c>
      <c r="Q62" s="82" t="s">
        <v>15</v>
      </c>
      <c r="R62" s="84" t="s">
        <v>16</v>
      </c>
      <c r="S62" s="84">
        <v>1</v>
      </c>
      <c r="T62" s="84">
        <v>2</v>
      </c>
      <c r="U62" s="84">
        <v>3</v>
      </c>
      <c r="V62" s="84">
        <v>4</v>
      </c>
      <c r="W62" s="84">
        <v>5</v>
      </c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</row>
    <row r="63" spans="1:46" ht="16.5" hidden="1" thickBot="1">
      <c r="A63" s="70"/>
      <c r="B63" s="61"/>
      <c r="C63" s="61"/>
      <c r="D63" s="70"/>
      <c r="E63" s="70"/>
      <c r="F63" s="61"/>
      <c r="G63" s="61"/>
      <c r="H63" s="87">
        <v>0</v>
      </c>
      <c r="I63" s="88">
        <f t="shared" ref="I63:I74" si="14">IF(OR(puntosproljor&lt;620,nina=1),W63,R63)</f>
        <v>14135</v>
      </c>
      <c r="J63" s="103">
        <v>14135</v>
      </c>
      <c r="K63" s="103">
        <v>10096</v>
      </c>
      <c r="L63" s="103">
        <v>0</v>
      </c>
      <c r="M63" s="103">
        <v>0</v>
      </c>
      <c r="N63" s="103">
        <v>0</v>
      </c>
      <c r="O63" s="103">
        <v>0</v>
      </c>
      <c r="P63" s="103">
        <v>11290</v>
      </c>
      <c r="Q63" s="103">
        <v>10004</v>
      </c>
      <c r="R63" s="91">
        <f t="shared" ref="R63:R74" si="15">IF(PUNTOSbasicos&gt;971,Q63,P63)</f>
        <v>11290</v>
      </c>
      <c r="S63" s="91">
        <f t="shared" ref="S63:S74" si="16">IF(PUNTOSbasicos&lt;972,J63,K63)</f>
        <v>14135</v>
      </c>
      <c r="T63" s="91">
        <f t="shared" ref="T63:T74" si="17">IF(PUNTOSbasicos&lt;1170,S63,L63)</f>
        <v>14135</v>
      </c>
      <c r="U63" s="91">
        <f t="shared" ref="U63:U74" si="18">IF(PUNTOSbasicos&lt;1401,T63,M63)</f>
        <v>14135</v>
      </c>
      <c r="V63" s="91">
        <f t="shared" ref="V63:V74" si="19">IF(PUNTOSbasicos&lt;1943,U63,N63)</f>
        <v>14135</v>
      </c>
      <c r="W63" s="91">
        <f t="shared" ref="W63:W74" si="20">IF(PUNTOSbasicos&lt;=2220,V63,O63)</f>
        <v>14135</v>
      </c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</row>
    <row r="64" spans="1:46" ht="16.5" hidden="1" thickBot="1">
      <c r="A64" s="70"/>
      <c r="B64" s="61"/>
      <c r="C64" s="61"/>
      <c r="D64" s="70"/>
      <c r="E64" s="70"/>
      <c r="F64" s="61"/>
      <c r="G64" s="61"/>
      <c r="H64" s="93">
        <v>0.1</v>
      </c>
      <c r="I64" s="88">
        <f t="shared" si="14"/>
        <v>17294</v>
      </c>
      <c r="J64" s="104">
        <v>17294</v>
      </c>
      <c r="K64" s="105">
        <v>10341</v>
      </c>
      <c r="L64" s="105">
        <v>0</v>
      </c>
      <c r="M64" s="105">
        <v>0</v>
      </c>
      <c r="N64" s="105">
        <v>0</v>
      </c>
      <c r="O64" s="105">
        <v>0</v>
      </c>
      <c r="P64" s="105">
        <v>11535</v>
      </c>
      <c r="Q64" s="105">
        <v>10249</v>
      </c>
      <c r="R64" s="91">
        <f t="shared" si="15"/>
        <v>11535</v>
      </c>
      <c r="S64" s="91">
        <f t="shared" si="16"/>
        <v>17294</v>
      </c>
      <c r="T64" s="91">
        <f t="shared" si="17"/>
        <v>17294</v>
      </c>
      <c r="U64" s="91">
        <f t="shared" si="18"/>
        <v>17294</v>
      </c>
      <c r="V64" s="91">
        <f t="shared" si="19"/>
        <v>17294</v>
      </c>
      <c r="W64" s="91">
        <f t="shared" si="20"/>
        <v>17294</v>
      </c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</row>
    <row r="65" spans="1:46" ht="16.5" hidden="1" thickBot="1">
      <c r="A65" s="70"/>
      <c r="B65" s="61"/>
      <c r="C65" s="61"/>
      <c r="D65" s="70"/>
      <c r="E65" s="70"/>
      <c r="F65" s="61"/>
      <c r="G65" s="61"/>
      <c r="H65" s="94">
        <v>0.15</v>
      </c>
      <c r="I65" s="88">
        <f t="shared" si="14"/>
        <v>19272</v>
      </c>
      <c r="J65" s="104">
        <v>19272</v>
      </c>
      <c r="K65" s="105">
        <v>12519</v>
      </c>
      <c r="L65" s="105">
        <v>13954</v>
      </c>
      <c r="M65" s="105">
        <v>11929</v>
      </c>
      <c r="N65" s="105">
        <v>12412</v>
      </c>
      <c r="O65" s="105">
        <v>0</v>
      </c>
      <c r="P65" s="105">
        <v>14694</v>
      </c>
      <c r="Q65" s="105">
        <v>13408</v>
      </c>
      <c r="R65" s="91">
        <f t="shared" si="15"/>
        <v>14694</v>
      </c>
      <c r="S65" s="91">
        <f t="shared" si="16"/>
        <v>19272</v>
      </c>
      <c r="T65" s="91">
        <f t="shared" si="17"/>
        <v>19272</v>
      </c>
      <c r="U65" s="91">
        <f t="shared" si="18"/>
        <v>19272</v>
      </c>
      <c r="V65" s="91">
        <f t="shared" si="19"/>
        <v>19272</v>
      </c>
      <c r="W65" s="91">
        <f t="shared" si="20"/>
        <v>19272</v>
      </c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</row>
    <row r="66" spans="1:46" ht="16.5" hidden="1" thickBot="1">
      <c r="A66" s="70"/>
      <c r="B66" s="61"/>
      <c r="C66" s="61"/>
      <c r="D66" s="70"/>
      <c r="E66" s="70"/>
      <c r="F66" s="61"/>
      <c r="G66" s="61"/>
      <c r="H66" s="94">
        <v>0.3</v>
      </c>
      <c r="I66" s="88">
        <f t="shared" si="14"/>
        <v>20089</v>
      </c>
      <c r="J66" s="104">
        <v>20089</v>
      </c>
      <c r="K66" s="105">
        <v>12868</v>
      </c>
      <c r="L66" s="105">
        <v>13954</v>
      </c>
      <c r="M66" s="105">
        <v>11929</v>
      </c>
      <c r="N66" s="105">
        <v>12412</v>
      </c>
      <c r="O66" s="105">
        <v>0</v>
      </c>
      <c r="P66" s="105">
        <v>18582</v>
      </c>
      <c r="Q66" s="105">
        <v>16568</v>
      </c>
      <c r="R66" s="91">
        <f t="shared" si="15"/>
        <v>18582</v>
      </c>
      <c r="S66" s="91">
        <f t="shared" si="16"/>
        <v>20089</v>
      </c>
      <c r="T66" s="91">
        <f t="shared" si="17"/>
        <v>20089</v>
      </c>
      <c r="U66" s="91">
        <f t="shared" si="18"/>
        <v>20089</v>
      </c>
      <c r="V66" s="91">
        <f t="shared" si="19"/>
        <v>20089</v>
      </c>
      <c r="W66" s="91">
        <f t="shared" si="20"/>
        <v>20089</v>
      </c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</row>
    <row r="67" spans="1:46" ht="16.5" hidden="1" thickBot="1">
      <c r="A67" s="70"/>
      <c r="B67" s="61"/>
      <c r="C67" s="61"/>
      <c r="D67" s="70"/>
      <c r="E67" s="70"/>
      <c r="F67" s="61"/>
      <c r="G67" s="61"/>
      <c r="H67" s="94">
        <v>0.4</v>
      </c>
      <c r="I67" s="88">
        <f t="shared" si="14"/>
        <v>18766</v>
      </c>
      <c r="J67" s="104">
        <v>18766</v>
      </c>
      <c r="K67" s="105">
        <v>13240</v>
      </c>
      <c r="L67" s="105">
        <v>13319</v>
      </c>
      <c r="M67" s="105">
        <v>12100</v>
      </c>
      <c r="N67" s="105">
        <v>12412</v>
      </c>
      <c r="O67" s="105">
        <v>11446</v>
      </c>
      <c r="P67" s="105">
        <v>20046</v>
      </c>
      <c r="Q67" s="105">
        <v>16899</v>
      </c>
      <c r="R67" s="91">
        <f t="shared" si="15"/>
        <v>20046</v>
      </c>
      <c r="S67" s="91">
        <f t="shared" si="16"/>
        <v>18766</v>
      </c>
      <c r="T67" s="91">
        <f t="shared" si="17"/>
        <v>18766</v>
      </c>
      <c r="U67" s="91">
        <f t="shared" si="18"/>
        <v>18766</v>
      </c>
      <c r="V67" s="91">
        <f t="shared" si="19"/>
        <v>18766</v>
      </c>
      <c r="W67" s="91">
        <f t="shared" si="20"/>
        <v>18766</v>
      </c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</row>
    <row r="68" spans="1:46" ht="16.5" hidden="1" thickBot="1">
      <c r="A68" s="70"/>
      <c r="B68" s="61"/>
      <c r="C68" s="61"/>
      <c r="D68" s="70"/>
      <c r="E68" s="70"/>
      <c r="F68" s="61"/>
      <c r="G68" s="61"/>
      <c r="H68" s="94">
        <v>0.5</v>
      </c>
      <c r="I68" s="88">
        <f t="shared" si="14"/>
        <v>17183</v>
      </c>
      <c r="J68" s="104">
        <v>17183</v>
      </c>
      <c r="K68" s="105">
        <v>13723</v>
      </c>
      <c r="L68" s="105">
        <v>13319</v>
      </c>
      <c r="M68" s="105">
        <v>12100</v>
      </c>
      <c r="N68" s="105">
        <v>12412</v>
      </c>
      <c r="O68" s="105">
        <v>10558</v>
      </c>
      <c r="P68" s="105">
        <v>20894</v>
      </c>
      <c r="Q68" s="105">
        <v>17739</v>
      </c>
      <c r="R68" s="91">
        <f t="shared" si="15"/>
        <v>20894</v>
      </c>
      <c r="S68" s="91">
        <f t="shared" si="16"/>
        <v>17183</v>
      </c>
      <c r="T68" s="91">
        <f t="shared" si="17"/>
        <v>17183</v>
      </c>
      <c r="U68" s="91">
        <f t="shared" si="18"/>
        <v>17183</v>
      </c>
      <c r="V68" s="91">
        <f t="shared" si="19"/>
        <v>17183</v>
      </c>
      <c r="W68" s="91">
        <f t="shared" si="20"/>
        <v>17183</v>
      </c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</row>
    <row r="69" spans="1:46" ht="16.5" hidden="1" thickBot="1">
      <c r="A69" s="70"/>
      <c r="B69" s="61"/>
      <c r="C69" s="61"/>
      <c r="D69" s="70"/>
      <c r="E69" s="70"/>
      <c r="F69" s="61"/>
      <c r="G69" s="61"/>
      <c r="H69" s="94">
        <v>0.6</v>
      </c>
      <c r="I69" s="88">
        <f t="shared" si="14"/>
        <v>17242</v>
      </c>
      <c r="J69" s="104">
        <v>17242</v>
      </c>
      <c r="K69" s="105">
        <v>13549</v>
      </c>
      <c r="L69" s="105">
        <v>13549</v>
      </c>
      <c r="M69" s="105">
        <v>12182</v>
      </c>
      <c r="N69" s="105">
        <v>11763</v>
      </c>
      <c r="O69" s="105">
        <v>11027</v>
      </c>
      <c r="P69" s="105">
        <v>21741</v>
      </c>
      <c r="Q69" s="105">
        <v>18111</v>
      </c>
      <c r="R69" s="91">
        <f t="shared" si="15"/>
        <v>21741</v>
      </c>
      <c r="S69" s="91">
        <f t="shared" si="16"/>
        <v>17242</v>
      </c>
      <c r="T69" s="91">
        <f t="shared" si="17"/>
        <v>17242</v>
      </c>
      <c r="U69" s="91">
        <f t="shared" si="18"/>
        <v>17242</v>
      </c>
      <c r="V69" s="91">
        <f t="shared" si="19"/>
        <v>17242</v>
      </c>
      <c r="W69" s="91">
        <f t="shared" si="20"/>
        <v>17242</v>
      </c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</row>
    <row r="70" spans="1:46" ht="16.5" hidden="1" thickBot="1">
      <c r="A70" s="70"/>
      <c r="B70" s="61"/>
      <c r="C70" s="61"/>
      <c r="D70" s="70"/>
      <c r="E70" s="70"/>
      <c r="F70" s="61"/>
      <c r="G70" s="61"/>
      <c r="H70" s="94">
        <v>0.7</v>
      </c>
      <c r="I70" s="88">
        <f t="shared" si="14"/>
        <v>15887</v>
      </c>
      <c r="J70" s="104">
        <v>15887</v>
      </c>
      <c r="K70" s="105">
        <v>14152</v>
      </c>
      <c r="L70" s="105">
        <v>16069</v>
      </c>
      <c r="M70" s="105">
        <v>11948</v>
      </c>
      <c r="N70" s="105">
        <v>11763</v>
      </c>
      <c r="O70" s="105">
        <v>11027</v>
      </c>
      <c r="P70" s="105">
        <v>21226</v>
      </c>
      <c r="Q70" s="105">
        <v>18483</v>
      </c>
      <c r="R70" s="91">
        <f t="shared" si="15"/>
        <v>21226</v>
      </c>
      <c r="S70" s="91">
        <f t="shared" si="16"/>
        <v>15887</v>
      </c>
      <c r="T70" s="91">
        <f t="shared" si="17"/>
        <v>15887</v>
      </c>
      <c r="U70" s="91">
        <f t="shared" si="18"/>
        <v>15887</v>
      </c>
      <c r="V70" s="91">
        <f t="shared" si="19"/>
        <v>15887</v>
      </c>
      <c r="W70" s="91">
        <f t="shared" si="20"/>
        <v>15887</v>
      </c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</row>
    <row r="71" spans="1:46" ht="16.5" hidden="1" thickBot="1">
      <c r="A71" s="70"/>
      <c r="B71" s="61"/>
      <c r="C71" s="61"/>
      <c r="D71" s="70"/>
      <c r="E71" s="70"/>
      <c r="F71" s="61"/>
      <c r="G71" s="61"/>
      <c r="H71" s="94">
        <v>0.8</v>
      </c>
      <c r="I71" s="88">
        <f t="shared" si="14"/>
        <v>17946</v>
      </c>
      <c r="J71" s="104">
        <v>17946</v>
      </c>
      <c r="K71" s="105">
        <v>15601</v>
      </c>
      <c r="L71" s="105">
        <v>16813</v>
      </c>
      <c r="M71" s="105">
        <v>14587</v>
      </c>
      <c r="N71" s="105">
        <v>13918</v>
      </c>
      <c r="O71" s="105">
        <v>11525</v>
      </c>
      <c r="P71" s="105">
        <v>21939</v>
      </c>
      <c r="Q71" s="105">
        <v>18720</v>
      </c>
      <c r="R71" s="91">
        <f t="shared" si="15"/>
        <v>21939</v>
      </c>
      <c r="S71" s="91">
        <f t="shared" si="16"/>
        <v>17946</v>
      </c>
      <c r="T71" s="91">
        <f t="shared" si="17"/>
        <v>17946</v>
      </c>
      <c r="U71" s="91">
        <f t="shared" si="18"/>
        <v>17946</v>
      </c>
      <c r="V71" s="91">
        <f t="shared" si="19"/>
        <v>17946</v>
      </c>
      <c r="W71" s="91">
        <f t="shared" si="20"/>
        <v>17946</v>
      </c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</row>
    <row r="72" spans="1:46" ht="16.5" hidden="1" thickBot="1">
      <c r="A72" s="70"/>
      <c r="B72" s="61"/>
      <c r="C72" s="61"/>
      <c r="D72" s="70"/>
      <c r="E72" s="70"/>
      <c r="F72" s="61"/>
      <c r="G72" s="61"/>
      <c r="H72" s="94">
        <v>1</v>
      </c>
      <c r="I72" s="88">
        <f t="shared" si="14"/>
        <v>20912</v>
      </c>
      <c r="J72" s="104">
        <v>20912</v>
      </c>
      <c r="K72" s="105">
        <v>17757</v>
      </c>
      <c r="L72" s="105">
        <v>17162</v>
      </c>
      <c r="M72" s="105">
        <v>14349</v>
      </c>
      <c r="N72" s="105">
        <v>14647</v>
      </c>
      <c r="O72" s="105">
        <v>11525</v>
      </c>
      <c r="P72" s="105">
        <v>22801</v>
      </c>
      <c r="Q72" s="105">
        <v>19077</v>
      </c>
      <c r="R72" s="91">
        <f t="shared" si="15"/>
        <v>22801</v>
      </c>
      <c r="S72" s="91">
        <f t="shared" si="16"/>
        <v>20912</v>
      </c>
      <c r="T72" s="91">
        <f t="shared" si="17"/>
        <v>20912</v>
      </c>
      <c r="U72" s="91">
        <f t="shared" si="18"/>
        <v>20912</v>
      </c>
      <c r="V72" s="91">
        <f t="shared" si="19"/>
        <v>20912</v>
      </c>
      <c r="W72" s="91">
        <f t="shared" si="20"/>
        <v>20912</v>
      </c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</row>
    <row r="73" spans="1:46" ht="16.5" hidden="1" thickBot="1">
      <c r="A73" s="70"/>
      <c r="B73" s="61"/>
      <c r="C73" s="61"/>
      <c r="D73" s="70"/>
      <c r="E73" s="70"/>
      <c r="F73" s="61"/>
      <c r="G73" s="61"/>
      <c r="H73" s="94">
        <v>1.1000000000000001</v>
      </c>
      <c r="I73" s="88">
        <f t="shared" si="14"/>
        <v>22733</v>
      </c>
      <c r="J73" s="104">
        <v>22733</v>
      </c>
      <c r="K73" s="105">
        <v>19214</v>
      </c>
      <c r="L73" s="105">
        <v>16765</v>
      </c>
      <c r="M73" s="105">
        <v>14349</v>
      </c>
      <c r="N73" s="105">
        <v>14892</v>
      </c>
      <c r="O73" s="105">
        <v>11763</v>
      </c>
      <c r="P73" s="105">
        <v>23404</v>
      </c>
      <c r="Q73" s="105">
        <v>19441</v>
      </c>
      <c r="R73" s="91">
        <f t="shared" si="15"/>
        <v>23404</v>
      </c>
      <c r="S73" s="91">
        <f t="shared" si="16"/>
        <v>22733</v>
      </c>
      <c r="T73" s="91">
        <f t="shared" si="17"/>
        <v>22733</v>
      </c>
      <c r="U73" s="91">
        <f t="shared" si="18"/>
        <v>22733</v>
      </c>
      <c r="V73" s="91">
        <f t="shared" si="19"/>
        <v>22733</v>
      </c>
      <c r="W73" s="91">
        <f t="shared" si="20"/>
        <v>22733</v>
      </c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</row>
    <row r="74" spans="1:46" ht="16.5" hidden="1" thickBot="1">
      <c r="A74" s="70"/>
      <c r="B74" s="61"/>
      <c r="C74" s="61"/>
      <c r="D74" s="70"/>
      <c r="E74" s="70"/>
      <c r="F74" s="61"/>
      <c r="G74" s="61"/>
      <c r="H74" s="94">
        <v>1.2</v>
      </c>
      <c r="I74" s="88">
        <f t="shared" si="14"/>
        <v>23313</v>
      </c>
      <c r="J74" s="104">
        <v>23313</v>
      </c>
      <c r="K74" s="105">
        <v>19751</v>
      </c>
      <c r="L74" s="105">
        <v>17955</v>
      </c>
      <c r="M74" s="105">
        <v>14468</v>
      </c>
      <c r="N74" s="105">
        <v>15130</v>
      </c>
      <c r="O74" s="105">
        <v>11763</v>
      </c>
      <c r="P74" s="105">
        <v>23523</v>
      </c>
      <c r="Q74" s="105">
        <v>19575</v>
      </c>
      <c r="R74" s="91">
        <f t="shared" si="15"/>
        <v>23523</v>
      </c>
      <c r="S74" s="91">
        <f t="shared" si="16"/>
        <v>23313</v>
      </c>
      <c r="T74" s="91">
        <f t="shared" si="17"/>
        <v>23313</v>
      </c>
      <c r="U74" s="91">
        <f t="shared" si="18"/>
        <v>23313</v>
      </c>
      <c r="V74" s="91">
        <f t="shared" si="19"/>
        <v>23313</v>
      </c>
      <c r="W74" s="91">
        <f t="shared" si="20"/>
        <v>23313</v>
      </c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</row>
    <row r="75" spans="1:46" hidden="1">
      <c r="A75" s="70"/>
      <c r="B75" s="70"/>
      <c r="C75" s="70"/>
      <c r="D75" s="70"/>
      <c r="E75" s="61"/>
      <c r="F75" s="61"/>
      <c r="G75" s="61"/>
      <c r="H75" s="70"/>
      <c r="I75" s="70"/>
      <c r="J75" s="61"/>
      <c r="K75" s="61"/>
      <c r="L75" s="102"/>
      <c r="M75" s="97"/>
      <c r="N75" s="100"/>
      <c r="O75" s="100"/>
      <c r="P75" s="100"/>
      <c r="Q75" s="100"/>
      <c r="R75" s="100"/>
      <c r="S75" s="100"/>
      <c r="T75" s="100"/>
      <c r="U75" s="100"/>
      <c r="V75" s="69"/>
      <c r="W75" s="69"/>
      <c r="X75" s="69"/>
      <c r="Y75" s="69"/>
      <c r="Z75" s="69"/>
      <c r="AA75" s="69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</row>
    <row r="76" spans="1:46" hidden="1">
      <c r="A76" s="70"/>
      <c r="B76" s="70"/>
      <c r="C76" s="70"/>
      <c r="D76" s="70"/>
      <c r="E76" s="61"/>
      <c r="F76" s="61"/>
      <c r="G76" s="61"/>
      <c r="H76" s="70"/>
      <c r="I76" s="70"/>
      <c r="J76" s="61"/>
      <c r="K76" s="61"/>
      <c r="L76" s="102"/>
      <c r="M76" s="97"/>
      <c r="N76" s="100"/>
      <c r="O76" s="100"/>
      <c r="P76" s="100"/>
      <c r="Q76" s="100"/>
      <c r="R76" s="100"/>
      <c r="S76" s="100"/>
      <c r="T76" s="100"/>
      <c r="U76" s="100"/>
      <c r="V76" s="69"/>
      <c r="W76" s="69"/>
      <c r="X76" s="69"/>
      <c r="Y76" s="69"/>
      <c r="Z76" s="69"/>
      <c r="AA76" s="69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</row>
    <row r="77" spans="1:46" hidden="1">
      <c r="A77" s="70"/>
      <c r="B77" s="70"/>
      <c r="C77" s="70"/>
      <c r="D77" s="70"/>
      <c r="E77" s="61"/>
      <c r="F77" s="61"/>
      <c r="G77" s="61"/>
      <c r="H77" s="70"/>
      <c r="I77" s="70"/>
      <c r="J77" s="61"/>
      <c r="K77" s="61"/>
      <c r="L77" s="102"/>
      <c r="M77" s="97"/>
      <c r="N77" s="100"/>
      <c r="O77" s="100"/>
      <c r="P77" s="100"/>
      <c r="Q77" s="100"/>
      <c r="R77" s="100"/>
      <c r="S77" s="100"/>
      <c r="T77" s="100"/>
      <c r="U77" s="100"/>
      <c r="V77" s="69"/>
      <c r="W77" s="69"/>
      <c r="X77" s="69"/>
      <c r="Y77" s="69"/>
      <c r="Z77" s="69"/>
      <c r="AA77" s="69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</row>
    <row r="78" spans="1:46" ht="23.25" hidden="1">
      <c r="A78" s="70"/>
      <c r="B78" s="70"/>
      <c r="C78" s="70"/>
      <c r="D78" s="70"/>
      <c r="E78" s="61"/>
      <c r="F78" s="106"/>
      <c r="G78" s="107"/>
      <c r="H78" s="108"/>
      <c r="I78" s="108"/>
      <c r="J78" s="107"/>
      <c r="K78" s="107"/>
      <c r="L78" s="109"/>
      <c r="M78" s="110"/>
      <c r="N78" s="110"/>
      <c r="O78" s="110"/>
      <c r="P78" s="110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</row>
    <row r="79" spans="1:46" ht="20.25" hidden="1">
      <c r="A79" s="69"/>
      <c r="B79" s="70"/>
      <c r="C79" s="70"/>
      <c r="D79" s="70"/>
      <c r="E79" s="61"/>
      <c r="F79" s="111"/>
      <c r="G79" s="110" t="s">
        <v>17</v>
      </c>
      <c r="H79" s="112" t="s">
        <v>18</v>
      </c>
      <c r="I79" s="110" t="s">
        <v>19</v>
      </c>
      <c r="J79" s="113" t="s">
        <v>20</v>
      </c>
      <c r="K79" s="110"/>
      <c r="L79" s="114"/>
      <c r="M79" s="115"/>
      <c r="N79" s="114" t="s">
        <v>21</v>
      </c>
      <c r="O79" s="116"/>
      <c r="P79" s="117">
        <v>0.24</v>
      </c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</row>
    <row r="80" spans="1:46" ht="20.25" hidden="1">
      <c r="A80" s="118" t="s">
        <v>22</v>
      </c>
      <c r="B80" s="118"/>
      <c r="C80" s="118"/>
      <c r="D80" s="118"/>
      <c r="E80" s="61"/>
      <c r="F80" s="119"/>
      <c r="G80" s="110" t="s">
        <v>23</v>
      </c>
      <c r="H80" s="112" t="s">
        <v>24</v>
      </c>
      <c r="I80" s="110" t="s">
        <v>25</v>
      </c>
      <c r="J80" s="113" t="s">
        <v>20</v>
      </c>
      <c r="K80" s="110"/>
      <c r="L80" s="120"/>
      <c r="M80" s="115"/>
      <c r="N80" s="120" t="s">
        <v>26</v>
      </c>
      <c r="O80" s="121"/>
      <c r="P80" s="117">
        <v>0.26</v>
      </c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</row>
    <row r="81" spans="1:46" ht="20.25" hidden="1">
      <c r="A81" s="61"/>
      <c r="B81" s="61"/>
      <c r="C81" s="61"/>
      <c r="D81" s="70"/>
      <c r="E81" s="61"/>
      <c r="F81" s="119"/>
      <c r="G81" s="122" t="s">
        <v>27</v>
      </c>
      <c r="H81" s="123" t="s">
        <v>28</v>
      </c>
      <c r="I81" s="124" t="s">
        <v>29</v>
      </c>
      <c r="J81" s="100" t="s">
        <v>30</v>
      </c>
      <c r="K81" s="61"/>
      <c r="L81" s="120"/>
      <c r="M81" s="115"/>
      <c r="N81" s="120" t="s">
        <v>31</v>
      </c>
      <c r="O81" s="121"/>
      <c r="P81" s="125" t="s">
        <v>32</v>
      </c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</row>
    <row r="82" spans="1:46" ht="20.25" hidden="1">
      <c r="A82" s="61"/>
      <c r="B82" s="126"/>
      <c r="C82" s="126"/>
      <c r="D82" s="61"/>
      <c r="E82" s="61"/>
      <c r="F82" s="127"/>
      <c r="G82" s="128"/>
      <c r="H82" s="129"/>
      <c r="I82" s="129"/>
      <c r="J82" s="128"/>
      <c r="K82" s="128"/>
      <c r="L82" s="130"/>
      <c r="M82" s="61"/>
      <c r="N82" s="61"/>
      <c r="O82" s="61"/>
      <c r="P82" s="61"/>
      <c r="Q82" s="61"/>
      <c r="R82" s="61"/>
      <c r="S82" s="61"/>
      <c r="T82" s="61"/>
      <c r="U82" s="131"/>
      <c r="V82" s="131"/>
      <c r="W82" s="131"/>
      <c r="X82" s="132"/>
      <c r="Y82" s="61"/>
      <c r="Z82" s="61"/>
      <c r="AA82" s="133" t="s">
        <v>33</v>
      </c>
      <c r="AB82" s="61"/>
      <c r="AC82" s="61"/>
      <c r="AD82" s="61"/>
      <c r="AE82" s="61"/>
      <c r="AF82" s="134"/>
      <c r="AG82" s="135"/>
      <c r="AH82" s="61"/>
      <c r="AI82" s="136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</row>
    <row r="83" spans="1:46" ht="20.25" hidden="1">
      <c r="A83" s="61"/>
      <c r="B83" s="137"/>
      <c r="C83" s="138"/>
      <c r="D83" s="138"/>
      <c r="E83" s="61"/>
      <c r="F83" s="853" t="s">
        <v>34</v>
      </c>
      <c r="G83" s="849"/>
      <c r="H83" s="849"/>
      <c r="I83" s="139"/>
      <c r="J83" s="140"/>
      <c r="K83" s="139"/>
      <c r="L83" s="61"/>
      <c r="M83" s="61"/>
      <c r="N83" s="61"/>
      <c r="O83" s="61"/>
      <c r="P83" s="61"/>
      <c r="Q83" s="61"/>
      <c r="R83" s="61"/>
      <c r="S83" s="61"/>
      <c r="T83" s="61"/>
      <c r="U83" s="141"/>
      <c r="V83" s="141"/>
      <c r="W83" s="141"/>
      <c r="X83" s="132"/>
      <c r="Y83" s="61"/>
      <c r="Z83" s="61"/>
      <c r="AA83" s="61"/>
      <c r="AB83" s="61"/>
      <c r="AC83" s="61"/>
      <c r="AD83" s="61"/>
      <c r="AE83" s="61"/>
      <c r="AF83" s="134"/>
      <c r="AG83" s="135"/>
      <c r="AH83" s="61"/>
      <c r="AI83" s="136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</row>
    <row r="84" spans="1:46" ht="20.25" hidden="1">
      <c r="A84" s="61"/>
      <c r="B84" s="142"/>
      <c r="C84" s="143"/>
      <c r="D84" s="61"/>
      <c r="E84" s="61"/>
      <c r="F84" s="854" t="s">
        <v>35</v>
      </c>
      <c r="G84" s="849"/>
      <c r="H84" s="61"/>
      <c r="I84" s="70"/>
      <c r="J84" s="144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134"/>
      <c r="AL84" s="61"/>
      <c r="AM84" s="61"/>
      <c r="AN84" s="61"/>
      <c r="AO84" s="61"/>
      <c r="AP84" s="61"/>
      <c r="AQ84" s="61"/>
      <c r="AR84" s="61"/>
      <c r="AS84" s="61"/>
      <c r="AT84" s="61"/>
    </row>
    <row r="85" spans="1:46" ht="26.25" hidden="1">
      <c r="A85" s="61"/>
      <c r="B85" s="61"/>
      <c r="C85" s="145"/>
      <c r="D85" s="61"/>
      <c r="E85" s="61"/>
      <c r="F85" s="855" t="s">
        <v>36</v>
      </c>
      <c r="G85" s="842"/>
      <c r="H85" s="146"/>
      <c r="I85" s="70"/>
      <c r="J85" s="144"/>
      <c r="K85" s="61"/>
      <c r="L85" s="733">
        <f>Indiceproljorsep22*1.7645/1.6945</f>
        <v>58.804448627913843</v>
      </c>
      <c r="M85" s="61"/>
      <c r="N85" s="61"/>
      <c r="O85" s="61"/>
      <c r="P85" s="61"/>
      <c r="Q85" s="733"/>
      <c r="R85" s="61"/>
      <c r="S85" s="61"/>
      <c r="T85" s="61"/>
      <c r="U85" s="61"/>
      <c r="V85" s="61"/>
      <c r="W85" s="147" t="s">
        <v>37</v>
      </c>
      <c r="X85" s="61"/>
      <c r="Y85" s="61"/>
      <c r="Z85" s="148"/>
      <c r="AA85" s="61"/>
      <c r="AB85" s="147" t="s">
        <v>37</v>
      </c>
      <c r="AC85" s="61"/>
      <c r="AD85" s="61"/>
      <c r="AE85" s="147" t="s">
        <v>37</v>
      </c>
      <c r="AF85" s="61"/>
      <c r="AG85" s="61"/>
      <c r="AH85" s="148"/>
      <c r="AI85" s="61"/>
      <c r="AJ85" s="61"/>
      <c r="AK85" s="149"/>
      <c r="AL85" s="61"/>
      <c r="AM85" s="150"/>
      <c r="AN85" s="61"/>
      <c r="AO85" s="61"/>
      <c r="AP85" s="61"/>
      <c r="AQ85" s="61"/>
      <c r="AR85" s="61"/>
      <c r="AS85" s="61"/>
      <c r="AT85" s="61"/>
    </row>
    <row r="86" spans="1:46" ht="16.5" hidden="1" thickBot="1">
      <c r="A86" s="61"/>
      <c r="B86" s="15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733">
        <f>indicenov22/1.9445*1.998</f>
        <v>38.534838776034974</v>
      </c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9"/>
      <c r="AE86" s="150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</row>
    <row r="87" spans="1:46" ht="13.5" hidden="1" thickBot="1">
      <c r="A87" s="61"/>
      <c r="B87" s="61" t="s">
        <v>38</v>
      </c>
      <c r="C87" s="687">
        <v>1.2121</v>
      </c>
      <c r="D87" s="61" t="s">
        <v>39</v>
      </c>
      <c r="E87" s="100">
        <v>18.1492</v>
      </c>
      <c r="F87" s="152" t="s">
        <v>488</v>
      </c>
      <c r="G87" s="153">
        <v>19.2867</v>
      </c>
      <c r="H87" s="726">
        <v>44805</v>
      </c>
      <c r="I87" s="727">
        <f>indiceene22*aumento6</f>
        <v>32.681313149999994</v>
      </c>
      <c r="J87" s="61" t="s">
        <v>517</v>
      </c>
      <c r="K87" s="733">
        <v>32.6813</v>
      </c>
      <c r="L87" s="61" t="s">
        <v>523</v>
      </c>
      <c r="M87" s="733">
        <v>34.031399999999998</v>
      </c>
      <c r="N87" s="61" t="s">
        <v>525</v>
      </c>
      <c r="O87" s="733">
        <v>37.503</v>
      </c>
      <c r="P87" s="61" t="s">
        <v>536</v>
      </c>
      <c r="Q87" s="733">
        <v>38.534799999999997</v>
      </c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</row>
    <row r="88" spans="1:46" ht="13.5" hidden="1" thickBot="1">
      <c r="A88" s="61"/>
      <c r="B88" s="61" t="s">
        <v>40</v>
      </c>
      <c r="C88" s="687">
        <v>1.2928999999999999</v>
      </c>
      <c r="D88" s="154" t="s">
        <v>41</v>
      </c>
      <c r="E88" s="100">
        <v>31.360800000000001</v>
      </c>
      <c r="F88" s="155" t="s">
        <v>489</v>
      </c>
      <c r="G88" s="153">
        <v>33.3264</v>
      </c>
      <c r="H88" s="726">
        <v>44805</v>
      </c>
      <c r="I88" s="727">
        <f>indiceproljorene22*aumento6</f>
        <v>56.471584799999995</v>
      </c>
      <c r="J88" s="61" t="s">
        <v>518</v>
      </c>
      <c r="K88" s="733">
        <v>56.471600000000002</v>
      </c>
      <c r="L88" s="61" t="s">
        <v>524</v>
      </c>
      <c r="M88" s="733">
        <v>58.804400000000001</v>
      </c>
      <c r="N88" s="61" t="s">
        <v>526</v>
      </c>
      <c r="O88" s="733">
        <v>64.803200000000004</v>
      </c>
      <c r="P88" s="61" t="s">
        <v>537</v>
      </c>
      <c r="Q88" s="733">
        <v>66.586200000000005</v>
      </c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</row>
    <row r="89" spans="1:46" ht="12.75" hidden="1">
      <c r="A89" s="61"/>
      <c r="B89" s="61" t="s">
        <v>42</v>
      </c>
      <c r="C89" s="687">
        <v>1.3929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</row>
    <row r="90" spans="1:46" ht="12.75" hidden="1">
      <c r="A90" s="61"/>
      <c r="B90" s="61" t="s">
        <v>43</v>
      </c>
      <c r="C90" s="687">
        <v>1.4544999999999999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</row>
    <row r="91" spans="1:46" ht="12.75" hidden="1">
      <c r="A91" s="61"/>
      <c r="B91" s="61" t="s">
        <v>44</v>
      </c>
      <c r="C91" s="687">
        <v>1.4944999999999999</v>
      </c>
      <c r="D91" s="61" t="s">
        <v>521</v>
      </c>
      <c r="E91" s="688">
        <v>1.7645</v>
      </c>
      <c r="F91" s="61"/>
      <c r="G91" s="61"/>
      <c r="H91" s="61">
        <v>100</v>
      </c>
      <c r="I91" s="61"/>
      <c r="J91" s="61"/>
      <c r="K91" s="61"/>
      <c r="L91" s="61"/>
      <c r="M91" s="61"/>
      <c r="N91" s="61"/>
      <c r="O91" s="61"/>
      <c r="P91" s="61"/>
      <c r="Q91" s="733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</row>
    <row r="92" spans="1:46" ht="12.75" hidden="1">
      <c r="A92" s="61"/>
      <c r="B92" s="152" t="s">
        <v>487</v>
      </c>
      <c r="C92" s="688">
        <v>1.6944999999999999</v>
      </c>
      <c r="D92" s="61" t="s">
        <v>522</v>
      </c>
      <c r="E92" s="688">
        <v>1.9444999999999999</v>
      </c>
      <c r="F92" s="61"/>
      <c r="G92" s="61"/>
      <c r="H92" s="61">
        <v>121.21</v>
      </c>
      <c r="I92" s="61">
        <v>21.21</v>
      </c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</row>
    <row r="93" spans="1:46" ht="12.75" hidden="1">
      <c r="A93" s="61"/>
      <c r="B93" s="154"/>
      <c r="C93" s="61"/>
      <c r="D93" s="156"/>
      <c r="E93" s="100"/>
      <c r="F93" s="61"/>
      <c r="G93" s="61"/>
      <c r="H93" s="61">
        <v>129.29</v>
      </c>
      <c r="I93" s="61">
        <v>29.29</v>
      </c>
      <c r="J93" s="653">
        <f>8.08/H92</f>
        <v>6.6661166570414987E-2</v>
      </c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</row>
    <row r="94" spans="1:46" ht="15" hidden="1">
      <c r="A94" s="61"/>
      <c r="B94" s="154"/>
      <c r="C94" s="61"/>
      <c r="D94" s="61">
        <v>124104481</v>
      </c>
      <c r="E94" s="100"/>
      <c r="F94" s="61"/>
      <c r="G94" s="61"/>
      <c r="H94" s="157">
        <v>145.44999999999999</v>
      </c>
      <c r="I94" s="157">
        <v>45.45</v>
      </c>
      <c r="J94" s="654">
        <f>16.16/H93</f>
        <v>0.12499033181220513</v>
      </c>
      <c r="K94" s="157"/>
      <c r="L94" s="157"/>
      <c r="M94" s="157"/>
      <c r="N94" s="157"/>
      <c r="O94" s="157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</row>
    <row r="95" spans="1:46" ht="14.25" hidden="1">
      <c r="A95" s="61"/>
      <c r="B95" s="154"/>
      <c r="C95" s="61"/>
      <c r="D95" s="100" t="s">
        <v>45</v>
      </c>
      <c r="E95" s="158">
        <v>2900000847</v>
      </c>
      <c r="F95" s="61"/>
      <c r="G95" s="61"/>
      <c r="H95" s="159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</row>
    <row r="96" spans="1:46" ht="14.25" hidden="1">
      <c r="A96" s="61"/>
      <c r="B96" s="154"/>
      <c r="C96" s="61"/>
      <c r="D96" s="61"/>
      <c r="E96" s="158"/>
      <c r="F96" s="61"/>
      <c r="G96" s="61"/>
      <c r="H96" s="159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</row>
    <row r="97" spans="1:56" ht="16.5" thickBot="1">
      <c r="A97" s="160"/>
      <c r="B97" s="161" t="s">
        <v>46</v>
      </c>
      <c r="C97" s="61"/>
      <c r="D97" s="61"/>
      <c r="E97" s="61"/>
      <c r="F97" s="61"/>
      <c r="G97" s="61"/>
      <c r="H97" s="158"/>
      <c r="I97" s="61"/>
      <c r="J97" s="61"/>
      <c r="K97" s="159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</row>
    <row r="98" spans="1:56" ht="16.5" thickBot="1">
      <c r="A98" s="160"/>
      <c r="B98" s="808" t="s">
        <v>511</v>
      </c>
      <c r="C98" s="61"/>
      <c r="D98" s="61"/>
      <c r="E98" s="61"/>
      <c r="F98" s="61"/>
      <c r="G98" s="61"/>
      <c r="H98" s="158"/>
      <c r="I98" s="61"/>
      <c r="J98" s="61"/>
      <c r="K98" s="159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</row>
    <row r="99" spans="1:56" ht="16.5" thickBot="1">
      <c r="A99" s="162"/>
      <c r="B99" s="809" t="s">
        <v>512</v>
      </c>
      <c r="C99" s="61"/>
      <c r="D99" s="61"/>
      <c r="E99" s="61"/>
      <c r="F99" s="61"/>
      <c r="G99" s="61"/>
      <c r="H99" s="61"/>
      <c r="I99" s="61"/>
      <c r="J99" s="61"/>
      <c r="K99" s="159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</row>
    <row r="100" spans="1:56" ht="16.5" thickBot="1">
      <c r="A100" s="163"/>
      <c r="B100" s="809" t="s">
        <v>513</v>
      </c>
      <c r="C100" s="61"/>
      <c r="D100" s="61"/>
      <c r="E100" s="61"/>
      <c r="F100" s="61"/>
      <c r="G100" s="61"/>
      <c r="H100" s="61"/>
      <c r="I100" s="61"/>
      <c r="J100" s="61"/>
      <c r="K100" s="159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</row>
    <row r="101" spans="1:56" ht="14.25">
      <c r="A101" s="61"/>
      <c r="B101" s="152"/>
      <c r="C101" s="61"/>
      <c r="D101" s="61"/>
      <c r="E101" s="61"/>
      <c r="F101" s="61"/>
      <c r="G101" s="61"/>
      <c r="H101" s="61"/>
      <c r="I101" s="61"/>
      <c r="J101" s="61"/>
      <c r="K101" s="159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</row>
    <row r="102" spans="1:56" ht="26.25">
      <c r="A102" s="61"/>
      <c r="B102" s="61"/>
      <c r="C102" s="147" t="s">
        <v>37</v>
      </c>
      <c r="D102" s="61"/>
      <c r="E102" s="164"/>
      <c r="F102" s="61"/>
      <c r="G102" s="61"/>
      <c r="H102" s="61"/>
      <c r="I102" s="61"/>
      <c r="J102" s="61"/>
      <c r="K102" s="159"/>
      <c r="L102" s="165"/>
      <c r="M102" s="165"/>
      <c r="N102" s="165"/>
      <c r="O102" s="165"/>
      <c r="P102" s="165"/>
      <c r="Q102" s="165"/>
      <c r="R102" s="165"/>
      <c r="S102" s="166"/>
      <c r="T102" s="115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</row>
    <row r="103" spans="1:56" ht="18">
      <c r="A103" s="852" t="s">
        <v>47</v>
      </c>
      <c r="B103" s="849"/>
      <c r="C103" s="849"/>
      <c r="D103" s="849"/>
      <c r="E103" s="164"/>
      <c r="F103" s="61"/>
      <c r="G103" s="61"/>
      <c r="H103" s="61"/>
      <c r="I103" s="61"/>
      <c r="J103" s="61"/>
      <c r="K103" s="159"/>
      <c r="L103" s="61"/>
      <c r="M103" s="61"/>
      <c r="N103" s="61"/>
      <c r="O103" s="61"/>
      <c r="P103" s="61"/>
      <c r="Q103" s="61"/>
      <c r="R103" s="61"/>
      <c r="S103" s="167"/>
      <c r="T103" s="115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</row>
    <row r="104" spans="1:56" ht="18">
      <c r="A104" s="168" t="s">
        <v>48</v>
      </c>
      <c r="B104" s="169" t="s">
        <v>49</v>
      </c>
      <c r="C104" s="169" t="s">
        <v>50</v>
      </c>
      <c r="D104" s="170" t="s">
        <v>51</v>
      </c>
      <c r="E104" s="170" t="s">
        <v>52</v>
      </c>
      <c r="F104" s="80" t="s">
        <v>53</v>
      </c>
      <c r="G104" s="168" t="s">
        <v>54</v>
      </c>
      <c r="H104" s="169" t="s">
        <v>55</v>
      </c>
      <c r="I104" s="152" t="s">
        <v>499</v>
      </c>
      <c r="J104" s="666" t="s">
        <v>505</v>
      </c>
      <c r="K104" s="159"/>
      <c r="L104" s="61"/>
      <c r="M104" s="61"/>
      <c r="N104" s="61"/>
      <c r="O104" s="61"/>
      <c r="P104" s="61"/>
      <c r="Q104" s="61"/>
      <c r="R104" s="61"/>
      <c r="S104" s="132"/>
      <c r="T104" s="115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</row>
    <row r="105" spans="1:56" ht="18.75" thickBot="1">
      <c r="A105" s="584">
        <v>749</v>
      </c>
      <c r="B105" s="585">
        <f>LOOKUP(A105,numcargo,punbascargo)</f>
        <v>971</v>
      </c>
      <c r="C105" s="585">
        <f>LOOKUP(A105,numcargo,puntardifcargo)</f>
        <v>0</v>
      </c>
      <c r="D105" s="586">
        <f>LOOKUP(A105,numcargo,punproljorcargo)</f>
        <v>0</v>
      </c>
      <c r="E105" s="587">
        <f>LOOKUP(A105,numcargo,punjorcomcargo)</f>
        <v>0</v>
      </c>
      <c r="F105" s="765">
        <f>LOOKUP(A105,numcargo,compbas16)</f>
        <v>414.7</v>
      </c>
      <c r="G105" s="766">
        <f>LOOKUP(A105,numcargo,adicdir2016)</f>
        <v>0</v>
      </c>
      <c r="H105" s="603">
        <f>IF(AND(D109=1,LOOKUP(A105,numcargo,adicnina)&gt;0),LOOKUP(A105,numcargo,adicnina),0)</f>
        <v>0</v>
      </c>
      <c r="I105" s="133">
        <f>LOOKUP(A105,numcargo,adicdir2022)</f>
        <v>0</v>
      </c>
      <c r="J105" s="667">
        <f>IF(AND(exten=1,LOOKUP(A105,numcargo,punexten)&gt;0),LOOKUP(A105,numcargo,punexten),0)</f>
        <v>0</v>
      </c>
      <c r="K105" s="159"/>
      <c r="L105" s="61"/>
      <c r="M105" s="61"/>
      <c r="N105" s="61"/>
      <c r="O105" s="61"/>
      <c r="P105" s="61"/>
      <c r="Q105" s="61"/>
      <c r="R105" s="61"/>
      <c r="S105" s="141"/>
      <c r="T105" s="115"/>
      <c r="U105" s="70"/>
      <c r="V105" s="70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</row>
    <row r="106" spans="1:56" ht="18">
      <c r="A106" s="174" t="s">
        <v>56</v>
      </c>
      <c r="B106" s="175"/>
      <c r="C106" s="176" t="str">
        <f>LOOKUP(A105,numcargo,nombrecargo)</f>
        <v>MAESTRO DE GRADO</v>
      </c>
      <c r="D106" s="175"/>
      <c r="E106" s="177"/>
      <c r="F106" s="783">
        <f>A105</f>
        <v>749</v>
      </c>
      <c r="G106" s="786" t="str">
        <f>C106</f>
        <v>MAESTRO DE GRADO</v>
      </c>
      <c r="H106" s="787"/>
      <c r="I106" s="788"/>
      <c r="J106" s="789">
        <f>porantigcargo</f>
        <v>0</v>
      </c>
      <c r="K106" s="790"/>
      <c r="L106" s="771"/>
      <c r="M106" s="791"/>
      <c r="N106" s="791"/>
      <c r="O106" s="791"/>
      <c r="P106" s="141"/>
      <c r="Q106" s="115"/>
      <c r="R106" s="70"/>
      <c r="S106" s="70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</row>
    <row r="107" spans="1:56">
      <c r="A107" s="178" t="s">
        <v>57</v>
      </c>
      <c r="B107" s="178"/>
      <c r="C107" s="178"/>
      <c r="D107" s="178"/>
      <c r="E107" s="61"/>
      <c r="F107" s="773">
        <v>44562</v>
      </c>
      <c r="G107" s="774">
        <v>44621</v>
      </c>
      <c r="H107" s="774">
        <v>44682</v>
      </c>
      <c r="I107" s="774">
        <v>44743</v>
      </c>
      <c r="J107" s="774">
        <v>44774</v>
      </c>
      <c r="K107" s="775">
        <v>44805</v>
      </c>
      <c r="L107" s="775">
        <v>44835</v>
      </c>
      <c r="M107" s="775">
        <v>44866</v>
      </c>
      <c r="N107" s="775">
        <v>44896</v>
      </c>
      <c r="O107" s="775">
        <v>44927</v>
      </c>
      <c r="P107" s="132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</row>
    <row r="108" spans="1:56" ht="21" thickBot="1">
      <c r="A108" s="179"/>
      <c r="B108" s="61"/>
      <c r="C108" s="61"/>
      <c r="D108" s="136"/>
      <c r="E108" s="61"/>
      <c r="F108" s="776">
        <f>AF112</f>
        <v>50440.999999999993</v>
      </c>
      <c r="G108" s="777">
        <f>AC112</f>
        <v>61139.000000000007</v>
      </c>
      <c r="H108" s="777">
        <f>Z112</f>
        <v>64803.999999999993</v>
      </c>
      <c r="I108" s="777">
        <f>W112</f>
        <v>70309.999999999985</v>
      </c>
      <c r="J108" s="778">
        <f>T112</f>
        <v>75183.000000000029</v>
      </c>
      <c r="K108" s="779">
        <f>Q112</f>
        <v>84748</v>
      </c>
      <c r="L108" s="779">
        <f>N112</f>
        <v>87922.999999999985</v>
      </c>
      <c r="M108" s="779">
        <f>K112</f>
        <v>96088</v>
      </c>
      <c r="N108" s="779">
        <f>H112</f>
        <v>99204</v>
      </c>
      <c r="O108" s="779">
        <f>E112</f>
        <v>101933</v>
      </c>
      <c r="P108" s="132"/>
      <c r="Q108" s="61"/>
      <c r="R108" s="61"/>
      <c r="S108" s="132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</row>
    <row r="109" spans="1:56" ht="16.5" thickTop="1">
      <c r="A109" s="61"/>
      <c r="B109" s="839" t="s">
        <v>58</v>
      </c>
      <c r="C109" s="840"/>
      <c r="D109" s="705">
        <v>0</v>
      </c>
      <c r="E109" s="180" t="s">
        <v>59</v>
      </c>
      <c r="F109" s="792" t="s">
        <v>496</v>
      </c>
      <c r="G109" s="778">
        <f t="shared" ref="G109:N109" si="21">G108-$F108</f>
        <v>10698.000000000015</v>
      </c>
      <c r="H109" s="778">
        <f t="shared" si="21"/>
        <v>14363</v>
      </c>
      <c r="I109" s="778">
        <f t="shared" si="21"/>
        <v>19868.999999999993</v>
      </c>
      <c r="J109" s="778">
        <f t="shared" si="21"/>
        <v>24742.000000000036</v>
      </c>
      <c r="K109" s="779">
        <f t="shared" si="21"/>
        <v>34307.000000000007</v>
      </c>
      <c r="L109" s="779">
        <f t="shared" si="21"/>
        <v>37481.999999999993</v>
      </c>
      <c r="M109" s="779">
        <f t="shared" si="21"/>
        <v>45647.000000000007</v>
      </c>
      <c r="N109" s="779">
        <f t="shared" si="21"/>
        <v>48763.000000000007</v>
      </c>
      <c r="O109" s="779">
        <f t="shared" ref="O109" si="22">O108-$F108</f>
        <v>51492.000000000007</v>
      </c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161"/>
      <c r="AN109" s="61"/>
      <c r="AO109" s="61"/>
      <c r="AP109" s="61"/>
      <c r="AQ109" s="61"/>
      <c r="AR109" s="61"/>
      <c r="AS109" s="61"/>
    </row>
    <row r="110" spans="1:56" ht="18.75" thickBot="1">
      <c r="A110" s="61"/>
      <c r="B110" s="841" t="s">
        <v>60</v>
      </c>
      <c r="C110" s="842"/>
      <c r="D110" s="706">
        <v>0</v>
      </c>
      <c r="E110" s="61" t="s">
        <v>503</v>
      </c>
      <c r="F110" s="793" t="s">
        <v>500</v>
      </c>
      <c r="G110" s="781">
        <f t="shared" ref="G110:N110" si="23">G109/$F108</f>
        <v>0.21208937174124257</v>
      </c>
      <c r="H110" s="781">
        <f t="shared" si="23"/>
        <v>0.28474851807061718</v>
      </c>
      <c r="I110" s="781">
        <f t="shared" si="23"/>
        <v>0.39390575127376531</v>
      </c>
      <c r="J110" s="781">
        <f t="shared" si="23"/>
        <v>0.490513669435579</v>
      </c>
      <c r="K110" s="782">
        <f t="shared" si="23"/>
        <v>0.68014115501278749</v>
      </c>
      <c r="L110" s="782">
        <f t="shared" si="23"/>
        <v>0.74308598164191819</v>
      </c>
      <c r="M110" s="782">
        <f t="shared" si="23"/>
        <v>0.90495826807557367</v>
      </c>
      <c r="N110" s="782">
        <f t="shared" si="23"/>
        <v>0.96673341131222645</v>
      </c>
      <c r="O110" s="782">
        <f t="shared" ref="O110" si="24">O109/$F108</f>
        <v>1.0208362244999112</v>
      </c>
      <c r="P110" s="61"/>
      <c r="Q110" s="61"/>
      <c r="R110" s="61"/>
      <c r="S110" s="61"/>
      <c r="T110" s="61"/>
      <c r="U110" s="61"/>
      <c r="V110" s="18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</row>
    <row r="111" spans="1:56" ht="16.5" thickTop="1">
      <c r="A111" s="61"/>
      <c r="B111" s="707"/>
      <c r="C111" s="708"/>
      <c r="D111" s="709">
        <f>LOOKUP(D110,escalaañosantig,escalaporcantig)</f>
        <v>0</v>
      </c>
      <c r="E111" s="703" t="s">
        <v>61</v>
      </c>
      <c r="F111" s="742"/>
      <c r="G111" s="742"/>
      <c r="H111" s="703" t="s">
        <v>61</v>
      </c>
      <c r="I111" s="742"/>
      <c r="J111" s="742"/>
      <c r="K111" s="703" t="s">
        <v>61</v>
      </c>
      <c r="L111" s="742"/>
      <c r="M111" s="742"/>
      <c r="N111" s="767" t="s">
        <v>61</v>
      </c>
      <c r="O111" s="742"/>
      <c r="P111" s="742"/>
      <c r="Q111" s="767" t="s">
        <v>61</v>
      </c>
      <c r="R111" s="84"/>
      <c r="S111" s="183"/>
      <c r="T111" s="182" t="s">
        <v>61</v>
      </c>
      <c r="U111" s="84"/>
      <c r="V111" s="183"/>
      <c r="W111" s="602" t="s">
        <v>61</v>
      </c>
      <c r="X111" s="84"/>
      <c r="Y111" s="183"/>
      <c r="Z111" s="602" t="s">
        <v>61</v>
      </c>
      <c r="AA111" s="84"/>
      <c r="AB111" s="183"/>
      <c r="AC111" s="182" t="s">
        <v>61</v>
      </c>
      <c r="AD111" s="84"/>
      <c r="AE111" s="183"/>
      <c r="AF111" s="182" t="s">
        <v>61</v>
      </c>
      <c r="AG111" s="84"/>
      <c r="AH111" s="183"/>
      <c r="AI111" s="61"/>
      <c r="AJ111" s="61"/>
      <c r="AK111" s="61"/>
      <c r="AL111" s="61"/>
      <c r="AM111" s="84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</row>
    <row r="112" spans="1:56" ht="18.75" thickBot="1">
      <c r="A112" s="61"/>
      <c r="B112" s="843" t="s">
        <v>62</v>
      </c>
      <c r="C112" s="844"/>
      <c r="D112" s="713">
        <v>0</v>
      </c>
      <c r="E112" s="754">
        <f>F211</f>
        <v>101933</v>
      </c>
      <c r="F112" s="815"/>
      <c r="G112" s="815"/>
      <c r="H112" s="754">
        <f>I211</f>
        <v>99204</v>
      </c>
      <c r="I112" s="815"/>
      <c r="J112" s="815"/>
      <c r="K112" s="754">
        <f>L211</f>
        <v>96088</v>
      </c>
      <c r="L112" s="810"/>
      <c r="M112" s="810"/>
      <c r="N112" s="811">
        <f>O211</f>
        <v>87922.999999999985</v>
      </c>
      <c r="O112" s="810"/>
      <c r="P112" s="810"/>
      <c r="Q112" s="704">
        <f>R211</f>
        <v>84748</v>
      </c>
      <c r="R112" s="812"/>
      <c r="S112" s="184"/>
      <c r="T112" s="608">
        <f>U211</f>
        <v>75183.000000000029</v>
      </c>
      <c r="U112" s="812"/>
      <c r="V112" s="184"/>
      <c r="W112" s="608">
        <f>X211</f>
        <v>70309.999999999985</v>
      </c>
      <c r="X112" s="812"/>
      <c r="Y112" s="184"/>
      <c r="Z112" s="608">
        <f>AA211</f>
        <v>64803.999999999993</v>
      </c>
      <c r="AA112" s="812"/>
      <c r="AB112" s="184"/>
      <c r="AC112" s="608">
        <f>AD211</f>
        <v>61139.000000000007</v>
      </c>
      <c r="AD112" s="812"/>
      <c r="AE112" s="184"/>
      <c r="AF112" s="608">
        <f>AG211</f>
        <v>50440.999999999993</v>
      </c>
      <c r="AG112" s="812"/>
      <c r="AH112" s="184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84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</row>
    <row r="113" spans="1:66" ht="18.75" thickTop="1">
      <c r="A113" s="61"/>
      <c r="B113" s="845" t="s">
        <v>63</v>
      </c>
      <c r="C113" s="844"/>
      <c r="D113" s="743">
        <f>PUNTOSbasicos</f>
        <v>971</v>
      </c>
      <c r="E113" s="743"/>
      <c r="F113" s="743"/>
      <c r="G113" s="743"/>
      <c r="H113" s="743"/>
      <c r="I113" s="743"/>
      <c r="J113" s="743"/>
      <c r="K113" s="752" t="s">
        <v>532</v>
      </c>
      <c r="L113" s="743"/>
      <c r="M113" s="743"/>
      <c r="N113" s="743"/>
      <c r="O113" s="743"/>
      <c r="P113" s="743"/>
      <c r="Q113" s="97"/>
      <c r="R113" s="97"/>
      <c r="S113" s="186"/>
      <c r="T113" s="97"/>
      <c r="U113" s="97"/>
      <c r="V113" s="186"/>
      <c r="W113" s="97"/>
      <c r="X113" s="97"/>
      <c r="Y113" s="186"/>
      <c r="Z113" s="97"/>
      <c r="AA113" s="97"/>
      <c r="AB113" s="186"/>
      <c r="AC113" s="97"/>
      <c r="AD113" s="97"/>
      <c r="AE113" s="186"/>
      <c r="AF113" s="97"/>
      <c r="AG113" s="97"/>
      <c r="AH113" s="186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84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</row>
    <row r="114" spans="1:66" ht="18.75" thickBot="1">
      <c r="A114" s="61"/>
      <c r="B114" s="846" t="s">
        <v>64</v>
      </c>
      <c r="C114" s="847"/>
      <c r="D114" s="750">
        <f>E105+D105</f>
        <v>0</v>
      </c>
      <c r="E114" s="744"/>
      <c r="F114" s="744"/>
      <c r="G114" s="744"/>
      <c r="H114" s="744"/>
      <c r="I114" s="744"/>
      <c r="J114" s="744"/>
      <c r="K114" s="753">
        <f>L153+O153+O153</f>
        <v>14514.999999999985</v>
      </c>
      <c r="L114" s="744"/>
      <c r="M114" s="744"/>
      <c r="N114" s="744"/>
      <c r="O114" s="744"/>
      <c r="P114" s="744"/>
      <c r="Q114" s="187"/>
      <c r="R114" s="187"/>
      <c r="S114" s="188"/>
      <c r="T114" s="187"/>
      <c r="U114" s="187"/>
      <c r="V114" s="188"/>
      <c r="W114" s="187"/>
      <c r="X114" s="187"/>
      <c r="Y114" s="188"/>
      <c r="Z114" s="187"/>
      <c r="AA114" s="187"/>
      <c r="AB114" s="188"/>
      <c r="AC114" s="187"/>
      <c r="AD114" s="187"/>
      <c r="AE114" s="188"/>
      <c r="AF114" s="187"/>
      <c r="AG114" s="187"/>
      <c r="AH114" s="188"/>
      <c r="AI114" s="61"/>
      <c r="AJ114" s="61"/>
      <c r="AK114" s="61"/>
      <c r="AL114" s="61"/>
      <c r="AM114" s="61"/>
      <c r="AN114" s="61"/>
      <c r="AO114" s="61"/>
      <c r="AP114" s="61"/>
      <c r="AQ114" s="189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</row>
    <row r="115" spans="1:66" ht="21" thickBot="1">
      <c r="A115" s="126"/>
      <c r="B115" s="710" t="s">
        <v>506</v>
      </c>
      <c r="C115" s="711"/>
      <c r="D115" s="712">
        <v>0</v>
      </c>
      <c r="E115" s="816"/>
      <c r="F115" s="816"/>
      <c r="G115" s="816"/>
      <c r="H115" s="816"/>
      <c r="I115" s="816"/>
      <c r="J115" s="816"/>
      <c r="K115" s="180" t="s">
        <v>59</v>
      </c>
      <c r="L115" s="813"/>
      <c r="M115" s="191"/>
      <c r="N115" s="180" t="s">
        <v>59</v>
      </c>
      <c r="O115" s="813"/>
      <c r="P115" s="191"/>
      <c r="Q115" s="813"/>
      <c r="R115" s="813"/>
      <c r="S115" s="191"/>
      <c r="T115" s="813"/>
      <c r="U115" s="813"/>
      <c r="V115" s="191"/>
      <c r="W115" s="813"/>
      <c r="X115" s="813"/>
      <c r="Y115" s="191"/>
      <c r="Z115" s="813"/>
      <c r="AA115" s="813"/>
      <c r="AB115" s="191"/>
      <c r="AC115" s="126"/>
      <c r="AD115" s="126"/>
      <c r="AE115" s="193"/>
      <c r="AF115" s="126"/>
      <c r="AG115" s="126"/>
      <c r="AH115" s="193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69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</row>
    <row r="116" spans="1:66" ht="16.5" thickTop="1">
      <c r="A116" s="126"/>
      <c r="B116" s="126"/>
      <c r="C116" s="126"/>
      <c r="D116" s="192"/>
      <c r="E116" s="192"/>
      <c r="F116" s="192"/>
      <c r="G116" s="192"/>
      <c r="H116" s="192"/>
      <c r="I116" s="192"/>
      <c r="J116" s="192"/>
      <c r="K116" s="126"/>
      <c r="L116" s="126"/>
      <c r="M116" s="193"/>
      <c r="N116" s="126"/>
      <c r="O116" s="126"/>
      <c r="P116" s="193"/>
      <c r="Q116" s="126"/>
      <c r="R116" s="126"/>
      <c r="S116" s="193"/>
      <c r="T116" s="126"/>
      <c r="U116" s="126"/>
      <c r="V116" s="193"/>
      <c r="W116" s="126"/>
      <c r="X116" s="126"/>
      <c r="Y116" s="193"/>
      <c r="Z116" s="126"/>
      <c r="AA116" s="126"/>
      <c r="AB116" s="193"/>
      <c r="AC116" s="69"/>
      <c r="AD116" s="69"/>
      <c r="AE116" s="814"/>
      <c r="AF116" s="195"/>
      <c r="AG116" s="126"/>
      <c r="AH116" s="193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</row>
    <row r="117" spans="1:66" ht="18">
      <c r="A117" s="126"/>
      <c r="B117" s="177"/>
      <c r="C117" s="177"/>
      <c r="D117" s="177"/>
      <c r="E117" s="40">
        <v>44927</v>
      </c>
      <c r="F117" s="823" t="s">
        <v>539</v>
      </c>
      <c r="G117" s="708"/>
      <c r="H117" s="40">
        <v>44896</v>
      </c>
      <c r="I117" s="187" t="s">
        <v>533</v>
      </c>
      <c r="J117" s="708"/>
      <c r="K117" s="40">
        <v>44866</v>
      </c>
      <c r="L117" s="187" t="s">
        <v>519</v>
      </c>
      <c r="M117" s="193"/>
      <c r="N117" s="40">
        <v>44835</v>
      </c>
      <c r="O117" s="187" t="s">
        <v>520</v>
      </c>
      <c r="P117" s="193"/>
      <c r="Q117" s="40">
        <v>44805</v>
      </c>
      <c r="R117" s="187" t="s">
        <v>516</v>
      </c>
      <c r="S117" s="193"/>
      <c r="T117" s="40">
        <v>44774</v>
      </c>
      <c r="U117" s="689" t="s">
        <v>510</v>
      </c>
      <c r="V117" s="193"/>
      <c r="W117" s="40">
        <v>44743</v>
      </c>
      <c r="X117" s="187" t="s">
        <v>495</v>
      </c>
      <c r="Y117" s="193"/>
      <c r="Z117" s="40">
        <v>44682</v>
      </c>
      <c r="AA117" s="187" t="s">
        <v>494</v>
      </c>
      <c r="AB117" s="193"/>
      <c r="AC117" s="40">
        <v>44621</v>
      </c>
      <c r="AD117" s="187" t="s">
        <v>493</v>
      </c>
      <c r="AE117" s="196"/>
      <c r="AF117" s="40">
        <v>44562</v>
      </c>
      <c r="AG117" s="588">
        <v>8.8999999999999996E-2</v>
      </c>
      <c r="AH117" s="196"/>
      <c r="AI117" s="69"/>
      <c r="AJ117" s="69"/>
      <c r="AK117" s="194"/>
      <c r="AL117" s="195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  <c r="AZ117" s="126"/>
    </row>
    <row r="118" spans="1:66">
      <c r="A118" s="126"/>
      <c r="B118" s="197" t="s">
        <v>65</v>
      </c>
      <c r="C118" s="198" t="s">
        <v>66</v>
      </c>
      <c r="D118" s="199" t="s">
        <v>67</v>
      </c>
      <c r="E118" s="199" t="s">
        <v>68</v>
      </c>
      <c r="F118" s="199" t="s">
        <v>69</v>
      </c>
      <c r="G118" s="200"/>
      <c r="H118" s="199" t="s">
        <v>68</v>
      </c>
      <c r="I118" s="199" t="s">
        <v>69</v>
      </c>
      <c r="J118" s="200"/>
      <c r="K118" s="199" t="s">
        <v>68</v>
      </c>
      <c r="L118" s="199" t="s">
        <v>69</v>
      </c>
      <c r="M118" s="200"/>
      <c r="N118" s="199" t="s">
        <v>68</v>
      </c>
      <c r="O118" s="199" t="s">
        <v>69</v>
      </c>
      <c r="P118" s="200"/>
      <c r="Q118" s="199" t="s">
        <v>68</v>
      </c>
      <c r="R118" s="199" t="s">
        <v>69</v>
      </c>
      <c r="S118" s="200"/>
      <c r="T118" s="199" t="s">
        <v>68</v>
      </c>
      <c r="U118" s="199" t="s">
        <v>69</v>
      </c>
      <c r="V118" s="200"/>
      <c r="W118" s="199" t="s">
        <v>68</v>
      </c>
      <c r="X118" s="199" t="s">
        <v>69</v>
      </c>
      <c r="Y118" s="200"/>
      <c r="Z118" s="199" t="s">
        <v>68</v>
      </c>
      <c r="AA118" s="199" t="s">
        <v>69</v>
      </c>
      <c r="AB118" s="200"/>
      <c r="AC118" s="199" t="s">
        <v>68</v>
      </c>
      <c r="AD118" s="199" t="s">
        <v>69</v>
      </c>
      <c r="AE118" s="200"/>
      <c r="AF118" s="199" t="s">
        <v>68</v>
      </c>
      <c r="AG118" s="199" t="s">
        <v>69</v>
      </c>
      <c r="AH118" s="200"/>
      <c r="AI118" s="69"/>
      <c r="AJ118" s="69"/>
      <c r="AK118" s="194"/>
      <c r="AL118" s="195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  <c r="AZ118" s="126"/>
    </row>
    <row r="119" spans="1:66" ht="15">
      <c r="A119" s="126"/>
      <c r="B119" s="547">
        <v>1</v>
      </c>
      <c r="C119" s="42"/>
      <c r="D119" s="42" t="s">
        <v>70</v>
      </c>
      <c r="E119" s="42">
        <f>E181</f>
        <v>37417.290799999995</v>
      </c>
      <c r="F119" s="42"/>
      <c r="G119" s="201"/>
      <c r="H119" s="42">
        <f>H181</f>
        <v>36415.413</v>
      </c>
      <c r="I119" s="42"/>
      <c r="J119" s="201"/>
      <c r="K119" s="42">
        <f>K181</f>
        <v>36415.413</v>
      </c>
      <c r="L119" s="42"/>
      <c r="M119" s="201"/>
      <c r="N119" s="42">
        <f>N181</f>
        <v>33044.489399999999</v>
      </c>
      <c r="O119" s="42"/>
      <c r="P119" s="201"/>
      <c r="Q119" s="42">
        <f>Q181</f>
        <v>31733.542300000001</v>
      </c>
      <c r="R119" s="42"/>
      <c r="S119" s="201"/>
      <c r="T119" s="42">
        <f>T181</f>
        <v>27988.077928649996</v>
      </c>
      <c r="U119" s="42"/>
      <c r="V119" s="201"/>
      <c r="W119" s="42">
        <f>W181</f>
        <v>26085.37554153</v>
      </c>
      <c r="X119" s="42"/>
      <c r="Y119" s="201"/>
      <c r="Z119" s="42">
        <f>Z181</f>
        <v>24212.636971529999</v>
      </c>
      <c r="AA119" s="42"/>
      <c r="AB119" s="201"/>
      <c r="AC119" s="42">
        <f>AC181</f>
        <v>22699.464206969998</v>
      </c>
      <c r="AD119" s="42"/>
      <c r="AE119" s="201"/>
      <c r="AF119" s="42">
        <f>AF181</f>
        <v>18727.385699999999</v>
      </c>
      <c r="AG119" s="42"/>
      <c r="AH119" s="201"/>
      <c r="AI119" s="126"/>
      <c r="AJ119" s="126"/>
      <c r="AK119" s="126"/>
      <c r="AL119" s="126"/>
      <c r="AM119" s="126"/>
      <c r="AN119" s="126"/>
      <c r="AO119" s="126"/>
      <c r="AP119" s="126"/>
      <c r="AQ119" s="126"/>
    </row>
    <row r="120" spans="1:66">
      <c r="A120" s="126"/>
      <c r="B120" s="548">
        <v>2</v>
      </c>
      <c r="C120" s="43"/>
      <c r="D120" s="43" t="s">
        <v>71</v>
      </c>
      <c r="E120" s="43">
        <f>E182</f>
        <v>15980.381559999998</v>
      </c>
      <c r="F120" s="43"/>
      <c r="G120" s="201"/>
      <c r="H120" s="43">
        <f>H182</f>
        <v>15552.4941</v>
      </c>
      <c r="I120" s="43"/>
      <c r="J120" s="201"/>
      <c r="K120" s="43">
        <f>K182</f>
        <v>15552.4941</v>
      </c>
      <c r="L120" s="43"/>
      <c r="M120" s="201"/>
      <c r="N120" s="43">
        <f>N182</f>
        <v>14112.821579999998</v>
      </c>
      <c r="O120" s="43"/>
      <c r="P120" s="201"/>
      <c r="Q120" s="43">
        <f>Q182</f>
        <v>13552.93511</v>
      </c>
      <c r="R120" s="43"/>
      <c r="S120" s="201"/>
      <c r="T120" s="43">
        <f>T182</f>
        <v>11953.301665305</v>
      </c>
      <c r="U120" s="43"/>
      <c r="V120" s="201"/>
      <c r="W120" s="43">
        <f>W182</f>
        <v>11140.685105121</v>
      </c>
      <c r="X120" s="43"/>
      <c r="Y120" s="201"/>
      <c r="Z120" s="43">
        <f>Z182</f>
        <v>10340.865656120999</v>
      </c>
      <c r="AA120" s="43"/>
      <c r="AB120" s="201"/>
      <c r="AC120" s="43">
        <f>AC182</f>
        <v>9694.611541328999</v>
      </c>
      <c r="AD120" s="43"/>
      <c r="AE120" s="201"/>
      <c r="AF120" s="43">
        <f>AF182</f>
        <v>7998.1944899999999</v>
      </c>
      <c r="AG120" s="43"/>
      <c r="AH120" s="201"/>
      <c r="AI120" s="69"/>
      <c r="AJ120" s="69"/>
      <c r="AK120" s="194"/>
      <c r="AL120" s="195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</row>
    <row r="121" spans="1:66" s="652" customFormat="1">
      <c r="A121" s="126"/>
      <c r="B121" s="668" t="s">
        <v>507</v>
      </c>
      <c r="C121" s="669"/>
      <c r="D121" s="670" t="s">
        <v>506</v>
      </c>
      <c r="E121" s="669">
        <f>E183</f>
        <v>0</v>
      </c>
      <c r="F121" s="669"/>
      <c r="G121" s="671"/>
      <c r="H121" s="669">
        <f>H183</f>
        <v>0</v>
      </c>
      <c r="I121" s="669"/>
      <c r="J121" s="671"/>
      <c r="K121" s="669">
        <f>K183</f>
        <v>0</v>
      </c>
      <c r="L121" s="669"/>
      <c r="M121" s="671"/>
      <c r="N121" s="669">
        <f>N183</f>
        <v>0</v>
      </c>
      <c r="O121" s="669"/>
      <c r="P121" s="671"/>
      <c r="Q121" s="669">
        <f>Q183</f>
        <v>0</v>
      </c>
      <c r="R121" s="669"/>
      <c r="S121" s="671"/>
      <c r="T121" s="669">
        <f>T183</f>
        <v>0</v>
      </c>
      <c r="U121" s="669"/>
      <c r="V121" s="671"/>
      <c r="W121" s="669">
        <f>W183</f>
        <v>0</v>
      </c>
      <c r="X121" s="43"/>
      <c r="Y121" s="201"/>
      <c r="Z121" s="43"/>
      <c r="AA121" s="43"/>
      <c r="AB121" s="201"/>
      <c r="AC121" s="43"/>
      <c r="AD121" s="43"/>
      <c r="AE121" s="201"/>
      <c r="AF121" s="43"/>
      <c r="AG121" s="43"/>
      <c r="AH121" s="201"/>
      <c r="AI121" s="69"/>
      <c r="AJ121" s="69"/>
      <c r="AK121" s="194"/>
      <c r="AL121" s="195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</row>
    <row r="122" spans="1:66">
      <c r="A122" s="126"/>
      <c r="B122" s="549" t="s">
        <v>72</v>
      </c>
      <c r="C122" s="42"/>
      <c r="D122" s="42" t="s">
        <v>73</v>
      </c>
      <c r="E122" s="42">
        <f t="shared" ref="E122:E133" si="25">E184</f>
        <v>0</v>
      </c>
      <c r="F122" s="42"/>
      <c r="G122" s="201"/>
      <c r="H122" s="42">
        <f t="shared" ref="H122:H133" si="26">H184</f>
        <v>0</v>
      </c>
      <c r="I122" s="42"/>
      <c r="J122" s="201"/>
      <c r="K122" s="42">
        <f t="shared" ref="K122:K133" si="27">K184</f>
        <v>0</v>
      </c>
      <c r="L122" s="42"/>
      <c r="M122" s="201"/>
      <c r="N122" s="42">
        <f t="shared" ref="N122:N133" si="28">N184</f>
        <v>0</v>
      </c>
      <c r="O122" s="42"/>
      <c r="P122" s="201"/>
      <c r="Q122" s="42">
        <f t="shared" ref="Q122:Q133" si="29">Q184</f>
        <v>0</v>
      </c>
      <c r="R122" s="42"/>
      <c r="S122" s="201"/>
      <c r="T122" s="42">
        <f t="shared" ref="T122:T133" si="30">T184</f>
        <v>0</v>
      </c>
      <c r="U122" s="42"/>
      <c r="V122" s="201"/>
      <c r="W122" s="42">
        <f t="shared" ref="W122:W133" si="31">W184</f>
        <v>0</v>
      </c>
      <c r="X122" s="42"/>
      <c r="Y122" s="201"/>
      <c r="Z122" s="42">
        <f t="shared" ref="Z122:Z133" si="32">Z184</f>
        <v>0</v>
      </c>
      <c r="AA122" s="42"/>
      <c r="AB122" s="201"/>
      <c r="AC122" s="42">
        <f t="shared" ref="AC122:AC133" si="33">AC184</f>
        <v>0</v>
      </c>
      <c r="AD122" s="42"/>
      <c r="AE122" s="201"/>
      <c r="AF122" s="42">
        <f t="shared" ref="AF122:AF133" si="34">AF184</f>
        <v>0</v>
      </c>
      <c r="AG122" s="42"/>
      <c r="AH122" s="201"/>
      <c r="AI122" s="69"/>
      <c r="AJ122" s="69"/>
      <c r="AK122" s="194"/>
      <c r="AL122" s="195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</row>
    <row r="123" spans="1:66">
      <c r="A123" s="126"/>
      <c r="B123" s="548">
        <v>5</v>
      </c>
      <c r="C123" s="43"/>
      <c r="D123" s="43" t="s">
        <v>74</v>
      </c>
      <c r="E123" s="43">
        <f t="shared" si="25"/>
        <v>0</v>
      </c>
      <c r="F123" s="43"/>
      <c r="G123" s="201"/>
      <c r="H123" s="43">
        <f t="shared" si="26"/>
        <v>0</v>
      </c>
      <c r="I123" s="43"/>
      <c r="J123" s="201"/>
      <c r="K123" s="43">
        <f t="shared" si="27"/>
        <v>0</v>
      </c>
      <c r="L123" s="43"/>
      <c r="M123" s="201"/>
      <c r="N123" s="43">
        <f t="shared" si="28"/>
        <v>0</v>
      </c>
      <c r="O123" s="43"/>
      <c r="P123" s="201"/>
      <c r="Q123" s="43">
        <f t="shared" si="29"/>
        <v>0</v>
      </c>
      <c r="R123" s="43"/>
      <c r="S123" s="201"/>
      <c r="T123" s="43">
        <f t="shared" si="30"/>
        <v>0</v>
      </c>
      <c r="U123" s="43"/>
      <c r="V123" s="201"/>
      <c r="W123" s="43">
        <f t="shared" si="31"/>
        <v>0</v>
      </c>
      <c r="X123" s="43"/>
      <c r="Y123" s="201"/>
      <c r="Z123" s="43">
        <f t="shared" si="32"/>
        <v>0</v>
      </c>
      <c r="AA123" s="43"/>
      <c r="AB123" s="201"/>
      <c r="AC123" s="43">
        <f t="shared" si="33"/>
        <v>0</v>
      </c>
      <c r="AD123" s="43"/>
      <c r="AE123" s="201"/>
      <c r="AF123" s="43">
        <f t="shared" si="34"/>
        <v>0</v>
      </c>
      <c r="AG123" s="43"/>
      <c r="AH123" s="201"/>
      <c r="AI123" s="69"/>
      <c r="AJ123" s="69"/>
      <c r="AK123" s="194"/>
      <c r="AL123" s="195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</row>
    <row r="124" spans="1:66">
      <c r="A124" s="126"/>
      <c r="B124" s="549">
        <v>6</v>
      </c>
      <c r="C124" s="42"/>
      <c r="D124" s="42" t="s">
        <v>75</v>
      </c>
      <c r="E124" s="42">
        <f t="shared" si="25"/>
        <v>30011.8583652995</v>
      </c>
      <c r="F124" s="42"/>
      <c r="G124" s="201"/>
      <c r="H124" s="42">
        <f t="shared" si="26"/>
        <v>29208.237533195632</v>
      </c>
      <c r="I124" s="42"/>
      <c r="J124" s="201"/>
      <c r="K124" s="42">
        <f t="shared" si="27"/>
        <v>29208.237533195632</v>
      </c>
      <c r="L124" s="42"/>
      <c r="M124" s="201"/>
      <c r="N124" s="42">
        <f t="shared" si="28"/>
        <v>26504.46650929478</v>
      </c>
      <c r="O124" s="42"/>
      <c r="P124" s="201"/>
      <c r="Q124" s="42">
        <f t="shared" si="29"/>
        <v>25453</v>
      </c>
      <c r="R124" s="42"/>
      <c r="S124" s="201"/>
      <c r="T124" s="42">
        <f t="shared" si="30"/>
        <v>22448.773991197184</v>
      </c>
      <c r="U124" s="42"/>
      <c r="V124" s="201"/>
      <c r="W124" s="42">
        <f t="shared" si="31"/>
        <v>20922.64790387324</v>
      </c>
      <c r="X124" s="42"/>
      <c r="Y124" s="201"/>
      <c r="Z124" s="42">
        <f t="shared" si="32"/>
        <v>19420.555298239437</v>
      </c>
      <c r="AA124" s="42"/>
      <c r="AB124" s="201"/>
      <c r="AC124" s="42">
        <f t="shared" si="33"/>
        <v>18206.864472887322</v>
      </c>
      <c r="AD124" s="42"/>
      <c r="AE124" s="201"/>
      <c r="AF124" s="42">
        <f t="shared" si="34"/>
        <v>15020.926056338029</v>
      </c>
      <c r="AG124" s="42"/>
      <c r="AH124" s="201"/>
      <c r="AI124" s="69"/>
      <c r="AJ124" s="69"/>
      <c r="AK124" s="194"/>
      <c r="AL124" s="195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</row>
    <row r="125" spans="1:66">
      <c r="A125" s="126"/>
      <c r="B125" s="548">
        <v>10</v>
      </c>
      <c r="C125" s="700">
        <f>C187</f>
        <v>0</v>
      </c>
      <c r="D125" s="43" t="s">
        <v>76</v>
      </c>
      <c r="E125" s="43">
        <f t="shared" si="25"/>
        <v>0</v>
      </c>
      <c r="F125" s="43"/>
      <c r="G125" s="690"/>
      <c r="H125" s="43">
        <f t="shared" si="26"/>
        <v>0</v>
      </c>
      <c r="I125" s="43"/>
      <c r="J125" s="690"/>
      <c r="K125" s="43">
        <f t="shared" si="27"/>
        <v>0</v>
      </c>
      <c r="L125" s="43"/>
      <c r="M125" s="690"/>
      <c r="N125" s="43">
        <f t="shared" si="28"/>
        <v>0</v>
      </c>
      <c r="O125" s="43"/>
      <c r="P125" s="201"/>
      <c r="Q125" s="43">
        <f t="shared" si="29"/>
        <v>0</v>
      </c>
      <c r="R125" s="43"/>
      <c r="S125" s="690"/>
      <c r="T125" s="43">
        <f t="shared" si="30"/>
        <v>0</v>
      </c>
      <c r="U125" s="43"/>
      <c r="V125" s="201"/>
      <c r="W125" s="43">
        <f t="shared" si="31"/>
        <v>0</v>
      </c>
      <c r="X125" s="43"/>
      <c r="Y125" s="201"/>
      <c r="Z125" s="43">
        <f t="shared" si="32"/>
        <v>0</v>
      </c>
      <c r="AA125" s="43"/>
      <c r="AB125" s="201"/>
      <c r="AC125" s="43">
        <f t="shared" si="33"/>
        <v>0</v>
      </c>
      <c r="AD125" s="43"/>
      <c r="AE125" s="201"/>
      <c r="AF125" s="43">
        <f t="shared" si="34"/>
        <v>0</v>
      </c>
      <c r="AG125" s="43"/>
      <c r="AH125" s="201"/>
      <c r="AI125" s="69"/>
      <c r="AJ125" s="69"/>
      <c r="AK125" s="194"/>
      <c r="AL125" s="195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  <c r="AZ125" s="126"/>
    </row>
    <row r="126" spans="1:66">
      <c r="A126" s="126"/>
      <c r="B126" s="549">
        <v>14</v>
      </c>
      <c r="C126" s="702">
        <v>7.0000000000000007E-2</v>
      </c>
      <c r="D126" s="42" t="s">
        <v>77</v>
      </c>
      <c r="E126" s="42">
        <f t="shared" si="25"/>
        <v>2100.8300855709654</v>
      </c>
      <c r="F126" s="42"/>
      <c r="G126" s="691">
        <f t="shared" ref="G126:G134" si="35">G188</f>
        <v>17083.924294892033</v>
      </c>
      <c r="H126" s="42">
        <f t="shared" si="26"/>
        <v>2044.5766273236943</v>
      </c>
      <c r="I126" s="42"/>
      <c r="J126" s="691">
        <f t="shared" ref="J126:J134" si="36">J188</f>
        <v>17522.277292499541</v>
      </c>
      <c r="K126" s="42">
        <f t="shared" si="27"/>
        <v>2044.5766273236943</v>
      </c>
      <c r="L126" s="42"/>
      <c r="M126" s="691">
        <f t="shared" ref="M126:M134" si="37">M188</f>
        <v>17522.277292499541</v>
      </c>
      <c r="N126" s="42">
        <f t="shared" si="28"/>
        <v>1855.3126556506347</v>
      </c>
      <c r="O126" s="42"/>
      <c r="P126" s="203">
        <f t="shared" ref="P126:P134" si="38">P188</f>
        <v>15900.172928381447</v>
      </c>
      <c r="Q126" s="42">
        <f t="shared" si="29"/>
        <v>1781.7100000000003</v>
      </c>
      <c r="R126" s="42"/>
      <c r="S126" s="691">
        <f t="shared" ref="S126:S134" si="39">S188</f>
        <v>15269.722366162465</v>
      </c>
      <c r="T126" s="42">
        <f t="shared" si="30"/>
        <v>1571.414179383803</v>
      </c>
      <c r="U126" s="42"/>
      <c r="V126" s="203">
        <f t="shared" ref="V126:V134" si="40">V188</f>
        <v>13467.677691994115</v>
      </c>
      <c r="W126" s="42">
        <f t="shared" si="31"/>
        <v>1464.5853532711269</v>
      </c>
      <c r="X126" s="42"/>
      <c r="Y126" s="203">
        <f t="shared" ref="Y126:Y134" si="41">Y188</f>
        <v>12247.133115640911</v>
      </c>
      <c r="Z126" s="42">
        <f t="shared" si="32"/>
        <v>1359.4388708767606</v>
      </c>
      <c r="AA126" s="42"/>
      <c r="AB126" s="203">
        <f t="shared" ref="AB126:AB134" si="42">AB188</f>
        <v>11650.701651551284</v>
      </c>
      <c r="AC126" s="42">
        <f t="shared" si="33"/>
        <v>1274.4805131021126</v>
      </c>
      <c r="AD126" s="42"/>
      <c r="AE126" s="203">
        <f t="shared" ref="AE126:AE134" si="43">AE188</f>
        <v>10922.766798498793</v>
      </c>
      <c r="AF126" s="42">
        <f t="shared" si="34"/>
        <v>1051.4648239436622</v>
      </c>
      <c r="AG126" s="42"/>
      <c r="AH126" s="203">
        <f t="shared" ref="AH126:AH134" si="44">AH188</f>
        <v>9011.5051335696589</v>
      </c>
      <c r="AI126" s="69"/>
      <c r="AJ126" s="69"/>
      <c r="AK126" s="194"/>
      <c r="AL126" s="195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</row>
    <row r="127" spans="1:66">
      <c r="A127" s="126"/>
      <c r="B127" s="548">
        <v>188</v>
      </c>
      <c r="C127" s="700">
        <v>7.0000000000000007E-2</v>
      </c>
      <c r="D127" s="43" t="s">
        <v>78</v>
      </c>
      <c r="E127" s="43">
        <f t="shared" si="25"/>
        <v>5154.6331658424424</v>
      </c>
      <c r="F127" s="43"/>
      <c r="G127" s="690"/>
      <c r="H127" s="43">
        <f t="shared" si="26"/>
        <v>5079.3186074749674</v>
      </c>
      <c r="I127" s="43"/>
      <c r="J127" s="690"/>
      <c r="K127" s="43">
        <f t="shared" si="27"/>
        <v>5079.3186074749674</v>
      </c>
      <c r="L127" s="43"/>
      <c r="M127" s="690"/>
      <c r="N127" s="43">
        <f t="shared" si="28"/>
        <v>4609.1271735867012</v>
      </c>
      <c r="O127" s="43"/>
      <c r="P127" s="204"/>
      <c r="Q127" s="43">
        <f t="shared" si="29"/>
        <v>4426.297384331373</v>
      </c>
      <c r="R127" s="43"/>
      <c r="S127" s="690"/>
      <c r="T127" s="43">
        <f t="shared" si="30"/>
        <v>3903.8829245737379</v>
      </c>
      <c r="U127" s="43"/>
      <c r="V127" s="204"/>
      <c r="W127" s="43">
        <f t="shared" si="31"/>
        <v>3617.1384265834936</v>
      </c>
      <c r="X127" s="43"/>
      <c r="Y127" s="204"/>
      <c r="Z127" s="43">
        <f t="shared" si="32"/>
        <v>3377.2520256272201</v>
      </c>
      <c r="AA127" s="43"/>
      <c r="AB127" s="204"/>
      <c r="AC127" s="43">
        <f t="shared" si="33"/>
        <v>3166.202537549786</v>
      </c>
      <c r="AD127" s="43"/>
      <c r="AE127" s="204"/>
      <c r="AF127" s="43">
        <f t="shared" si="34"/>
        <v>2612.1673440498762</v>
      </c>
      <c r="AG127" s="43"/>
      <c r="AH127" s="204"/>
      <c r="AI127" s="69"/>
      <c r="AJ127" s="69"/>
      <c r="AK127" s="194"/>
      <c r="AL127" s="195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</row>
    <row r="128" spans="1:66">
      <c r="A128" s="126"/>
      <c r="B128" s="549">
        <v>52</v>
      </c>
      <c r="C128" s="42"/>
      <c r="D128" s="42" t="s">
        <v>79</v>
      </c>
      <c r="E128" s="42">
        <f t="shared" si="25"/>
        <v>0</v>
      </c>
      <c r="F128" s="42"/>
      <c r="G128" s="690">
        <f t="shared" si="35"/>
        <v>89585</v>
      </c>
      <c r="H128" s="42">
        <f t="shared" si="26"/>
        <v>0</v>
      </c>
      <c r="I128" s="42"/>
      <c r="J128" s="690">
        <f t="shared" si="36"/>
        <v>87186</v>
      </c>
      <c r="K128" s="42">
        <f t="shared" si="27"/>
        <v>0</v>
      </c>
      <c r="L128" s="42"/>
      <c r="M128" s="690">
        <f t="shared" si="37"/>
        <v>84070</v>
      </c>
      <c r="N128" s="42">
        <f t="shared" si="28"/>
        <v>0</v>
      </c>
      <c r="O128" s="42"/>
      <c r="P128" s="204">
        <f t="shared" si="38"/>
        <v>77017</v>
      </c>
      <c r="Q128" s="42">
        <f t="shared" si="29"/>
        <v>0</v>
      </c>
      <c r="R128" s="42"/>
      <c r="S128" s="690">
        <f t="shared" si="39"/>
        <v>74275</v>
      </c>
      <c r="T128" s="42">
        <f t="shared" si="30"/>
        <v>0</v>
      </c>
      <c r="U128" s="42"/>
      <c r="V128" s="204">
        <f t="shared" si="40"/>
        <v>65946</v>
      </c>
      <c r="W128" s="42">
        <f t="shared" si="31"/>
        <v>0</v>
      </c>
      <c r="X128" s="42"/>
      <c r="Y128" s="204">
        <f t="shared" si="41"/>
        <v>61694</v>
      </c>
      <c r="Z128" s="42">
        <f t="shared" si="32"/>
        <v>0</v>
      </c>
      <c r="AA128" s="42"/>
      <c r="AB128" s="204">
        <f t="shared" si="42"/>
        <v>56813</v>
      </c>
      <c r="AC128" s="42">
        <f t="shared" si="33"/>
        <v>0</v>
      </c>
      <c r="AD128" s="42"/>
      <c r="AE128" s="204">
        <f t="shared" si="43"/>
        <v>53647</v>
      </c>
      <c r="AF128" s="42">
        <f t="shared" si="34"/>
        <v>0</v>
      </c>
      <c r="AG128" s="42"/>
      <c r="AH128" s="204">
        <f t="shared" si="44"/>
        <v>44260</v>
      </c>
      <c r="AI128" s="69"/>
      <c r="AJ128" s="69"/>
      <c r="AK128" s="194"/>
      <c r="AL128" s="195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</row>
    <row r="129" spans="1:52">
      <c r="A129" s="126"/>
      <c r="B129" s="548">
        <v>16</v>
      </c>
      <c r="C129" s="43"/>
      <c r="D129" s="43" t="s">
        <v>80</v>
      </c>
      <c r="E129" s="43">
        <f t="shared" si="25"/>
        <v>0</v>
      </c>
      <c r="F129" s="43"/>
      <c r="G129" s="690">
        <f t="shared" si="35"/>
        <v>3413.6808427171177</v>
      </c>
      <c r="H129" s="43">
        <f t="shared" si="26"/>
        <v>0</v>
      </c>
      <c r="I129" s="43"/>
      <c r="J129" s="690">
        <f t="shared" si="36"/>
        <v>3655.8875382593196</v>
      </c>
      <c r="K129" s="43">
        <f t="shared" si="27"/>
        <v>0</v>
      </c>
      <c r="L129" s="43"/>
      <c r="M129" s="690">
        <f t="shared" si="37"/>
        <v>3655.8875382593196</v>
      </c>
      <c r="N129" s="43">
        <f t="shared" si="28"/>
        <v>0</v>
      </c>
      <c r="O129" s="43"/>
      <c r="P129" s="204">
        <f t="shared" si="38"/>
        <v>3316.8107500036963</v>
      </c>
      <c r="Q129" s="43">
        <f t="shared" si="29"/>
        <v>0</v>
      </c>
      <c r="R129" s="43"/>
      <c r="S129" s="690">
        <f t="shared" si="39"/>
        <v>3185.9563571628123</v>
      </c>
      <c r="T129" s="43">
        <f t="shared" si="30"/>
        <v>0</v>
      </c>
      <c r="U129" s="43"/>
      <c r="V129" s="204">
        <f t="shared" si="40"/>
        <v>2810.0106791869166</v>
      </c>
      <c r="W129" s="43">
        <f t="shared" si="31"/>
        <v>0</v>
      </c>
      <c r="X129" s="43"/>
      <c r="Y129" s="204">
        <f t="shared" si="41"/>
        <v>2305.9770062605035</v>
      </c>
      <c r="Z129" s="43">
        <f t="shared" si="32"/>
        <v>0</v>
      </c>
      <c r="AA129" s="43"/>
      <c r="AB129" s="204">
        <f t="shared" si="42"/>
        <v>2430.6716527050867</v>
      </c>
      <c r="AC129" s="43">
        <f t="shared" si="33"/>
        <v>0</v>
      </c>
      <c r="AD129" s="43"/>
      <c r="AE129" s="204">
        <f t="shared" si="43"/>
        <v>2278.4838863031086</v>
      </c>
      <c r="AF129" s="43">
        <f t="shared" si="34"/>
        <v>0</v>
      </c>
      <c r="AG129" s="43"/>
      <c r="AH129" s="204">
        <f t="shared" si="44"/>
        <v>1879.8563508305353</v>
      </c>
      <c r="AI129" s="69"/>
      <c r="AJ129" s="69"/>
      <c r="AK129" s="194"/>
      <c r="AL129" s="195"/>
      <c r="AM129" s="126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</row>
    <row r="130" spans="1:52">
      <c r="A130" s="126"/>
      <c r="B130" s="549">
        <v>78</v>
      </c>
      <c r="C130" s="715">
        <v>0</v>
      </c>
      <c r="D130" s="42" t="s">
        <v>81</v>
      </c>
      <c r="E130" s="42">
        <f t="shared" si="25"/>
        <v>0</v>
      </c>
      <c r="F130" s="42"/>
      <c r="G130" s="690">
        <f t="shared" si="35"/>
        <v>101933</v>
      </c>
      <c r="H130" s="42">
        <f t="shared" si="26"/>
        <v>0</v>
      </c>
      <c r="I130" s="42"/>
      <c r="J130" s="690">
        <f t="shared" si="36"/>
        <v>99204</v>
      </c>
      <c r="K130" s="42">
        <f t="shared" si="27"/>
        <v>0</v>
      </c>
      <c r="L130" s="42"/>
      <c r="M130" s="690">
        <f t="shared" si="37"/>
        <v>96088</v>
      </c>
      <c r="N130" s="42">
        <f t="shared" si="28"/>
        <v>0</v>
      </c>
      <c r="O130" s="42"/>
      <c r="P130" s="204">
        <f t="shared" si="38"/>
        <v>87923</v>
      </c>
      <c r="Q130" s="42">
        <f t="shared" si="29"/>
        <v>0</v>
      </c>
      <c r="R130" s="42"/>
      <c r="S130" s="690">
        <f t="shared" si="39"/>
        <v>84748</v>
      </c>
      <c r="T130" s="42">
        <f t="shared" si="30"/>
        <v>0</v>
      </c>
      <c r="U130" s="42"/>
      <c r="V130" s="204">
        <f t="shared" si="40"/>
        <v>75183</v>
      </c>
      <c r="W130" s="42">
        <f t="shared" si="31"/>
        <v>0</v>
      </c>
      <c r="X130" s="42"/>
      <c r="Y130" s="204">
        <f t="shared" si="41"/>
        <v>70310</v>
      </c>
      <c r="Z130" s="42">
        <f t="shared" si="32"/>
        <v>0</v>
      </c>
      <c r="AA130" s="42"/>
      <c r="AB130" s="204">
        <f t="shared" si="42"/>
        <v>64804</v>
      </c>
      <c r="AC130" s="42">
        <f t="shared" si="33"/>
        <v>0</v>
      </c>
      <c r="AD130" s="42"/>
      <c r="AE130" s="204">
        <f t="shared" si="43"/>
        <v>61139</v>
      </c>
      <c r="AF130" s="42">
        <f t="shared" si="34"/>
        <v>0</v>
      </c>
      <c r="AG130" s="42"/>
      <c r="AH130" s="204">
        <f t="shared" si="44"/>
        <v>50441</v>
      </c>
      <c r="AI130" s="69"/>
      <c r="AJ130" s="69"/>
      <c r="AK130" s="194"/>
      <c r="AL130" s="195"/>
      <c r="AM130" s="126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  <c r="AZ130" s="126"/>
    </row>
    <row r="131" spans="1:52">
      <c r="A131" s="126"/>
      <c r="B131" s="548">
        <v>185</v>
      </c>
      <c r="C131" s="43"/>
      <c r="D131" s="43" t="s">
        <v>82</v>
      </c>
      <c r="E131" s="43">
        <f t="shared" si="25"/>
        <v>17083.924294892033</v>
      </c>
      <c r="F131" s="43"/>
      <c r="G131" s="690">
        <f t="shared" si="35"/>
        <v>17083.924294892033</v>
      </c>
      <c r="H131" s="43">
        <f t="shared" si="26"/>
        <v>17522.277292499541</v>
      </c>
      <c r="I131" s="43"/>
      <c r="J131" s="690">
        <f t="shared" si="36"/>
        <v>17522.277292499541</v>
      </c>
      <c r="K131" s="43">
        <f t="shared" si="27"/>
        <v>17522.277292499541</v>
      </c>
      <c r="L131" s="43"/>
      <c r="M131" s="690">
        <f t="shared" si="37"/>
        <v>17522.277292499541</v>
      </c>
      <c r="N131" s="43">
        <f t="shared" si="28"/>
        <v>15900.172928381447</v>
      </c>
      <c r="O131" s="43"/>
      <c r="P131" s="204">
        <f t="shared" si="38"/>
        <v>15900.172928381447</v>
      </c>
      <c r="Q131" s="43">
        <f t="shared" si="29"/>
        <v>15269.722366162465</v>
      </c>
      <c r="R131" s="43"/>
      <c r="S131" s="690">
        <f t="shared" si="39"/>
        <v>15269.722366162465</v>
      </c>
      <c r="T131" s="43">
        <f t="shared" si="30"/>
        <v>13467.677691994115</v>
      </c>
      <c r="U131" s="43"/>
      <c r="V131" s="204">
        <f t="shared" si="40"/>
        <v>13467.677691994115</v>
      </c>
      <c r="W131" s="43">
        <f t="shared" si="31"/>
        <v>12247.133115640911</v>
      </c>
      <c r="X131" s="43"/>
      <c r="Y131" s="204">
        <f t="shared" si="41"/>
        <v>12247.133115640911</v>
      </c>
      <c r="Z131" s="43">
        <f t="shared" si="32"/>
        <v>11650.701651551284</v>
      </c>
      <c r="AA131" s="43"/>
      <c r="AB131" s="204">
        <f t="shared" si="42"/>
        <v>11650.701651551284</v>
      </c>
      <c r="AC131" s="43">
        <f t="shared" si="33"/>
        <v>10922.766798498793</v>
      </c>
      <c r="AD131" s="43"/>
      <c r="AE131" s="204">
        <f t="shared" si="43"/>
        <v>10922.766798498793</v>
      </c>
      <c r="AF131" s="43">
        <f t="shared" si="34"/>
        <v>9011.5051335696589</v>
      </c>
      <c r="AG131" s="43"/>
      <c r="AH131" s="204">
        <f t="shared" si="44"/>
        <v>9011.5051335696589</v>
      </c>
      <c r="AI131" s="69"/>
      <c r="AJ131" s="69"/>
      <c r="AK131" s="194"/>
      <c r="AL131" s="195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</row>
    <row r="132" spans="1:52">
      <c r="A132" s="126"/>
      <c r="B132" s="549" t="s">
        <v>83</v>
      </c>
      <c r="C132" s="590">
        <v>1</v>
      </c>
      <c r="D132" s="42" t="s">
        <v>84</v>
      </c>
      <c r="E132" s="42">
        <f t="shared" si="25"/>
        <v>3156.02</v>
      </c>
      <c r="F132" s="42"/>
      <c r="G132" s="690"/>
      <c r="H132" s="42">
        <f t="shared" si="26"/>
        <v>3071.51</v>
      </c>
      <c r="I132" s="42"/>
      <c r="J132" s="690"/>
      <c r="K132" s="42">
        <f t="shared" si="27"/>
        <v>3071.51</v>
      </c>
      <c r="L132" s="42"/>
      <c r="M132" s="690"/>
      <c r="N132" s="42">
        <f t="shared" si="28"/>
        <v>2787.19</v>
      </c>
      <c r="O132" s="42"/>
      <c r="P132" s="204"/>
      <c r="Q132" s="42">
        <f t="shared" si="29"/>
        <v>2676.62</v>
      </c>
      <c r="R132" s="42"/>
      <c r="S132" s="690"/>
      <c r="T132" s="42">
        <f t="shared" si="30"/>
        <v>2360.6987793899998</v>
      </c>
      <c r="U132" s="42"/>
      <c r="V132" s="204"/>
      <c r="W132" s="42">
        <f t="shared" si="31"/>
        <v>2200.2123317579999</v>
      </c>
      <c r="X132" s="42"/>
      <c r="Y132" s="204"/>
      <c r="Z132" s="42">
        <f t="shared" si="32"/>
        <v>2042.2532297579996</v>
      </c>
      <c r="AA132" s="42"/>
      <c r="AB132" s="204"/>
      <c r="AC132" s="42">
        <f t="shared" si="33"/>
        <v>1914.6222753419995</v>
      </c>
      <c r="AD132" s="42"/>
      <c r="AE132" s="204"/>
      <c r="AF132" s="42">
        <f t="shared" si="34"/>
        <v>1579.5910199999998</v>
      </c>
      <c r="AG132" s="42"/>
      <c r="AH132" s="204"/>
      <c r="AI132" s="69"/>
      <c r="AJ132" s="69"/>
      <c r="AK132" s="194"/>
      <c r="AL132" s="195"/>
      <c r="AM132" s="126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</row>
    <row r="133" spans="1:52">
      <c r="A133" s="126"/>
      <c r="B133" s="548">
        <v>29</v>
      </c>
      <c r="C133" s="714">
        <f>cantkm</f>
        <v>0</v>
      </c>
      <c r="D133" s="43" t="s">
        <v>85</v>
      </c>
      <c r="E133" s="43">
        <f t="shared" si="25"/>
        <v>0</v>
      </c>
      <c r="F133" s="43"/>
      <c r="G133" s="204">
        <f t="shared" si="35"/>
        <v>139632</v>
      </c>
      <c r="H133" s="43">
        <f t="shared" si="26"/>
        <v>0</v>
      </c>
      <c r="I133" s="43"/>
      <c r="J133" s="204">
        <f t="shared" si="36"/>
        <v>135893</v>
      </c>
      <c r="K133" s="43">
        <f t="shared" si="27"/>
        <v>0</v>
      </c>
      <c r="L133" s="43"/>
      <c r="M133" s="204">
        <f t="shared" si="37"/>
        <v>129661</v>
      </c>
      <c r="N133" s="43">
        <f t="shared" si="28"/>
        <v>0</v>
      </c>
      <c r="O133" s="43"/>
      <c r="P133" s="204">
        <f t="shared" si="38"/>
        <v>119118</v>
      </c>
      <c r="Q133" s="43">
        <f t="shared" si="29"/>
        <v>0</v>
      </c>
      <c r="R133" s="43"/>
      <c r="S133" s="204">
        <f t="shared" si="39"/>
        <v>115018</v>
      </c>
      <c r="T133" s="43">
        <f t="shared" si="30"/>
        <v>0</v>
      </c>
      <c r="U133" s="43"/>
      <c r="V133" s="204">
        <f t="shared" si="40"/>
        <v>102318</v>
      </c>
      <c r="W133" s="43">
        <f t="shared" si="31"/>
        <v>0</v>
      </c>
      <c r="X133" s="43"/>
      <c r="Y133" s="204">
        <f t="shared" si="41"/>
        <v>95806</v>
      </c>
      <c r="Z133" s="43">
        <f t="shared" si="32"/>
        <v>0</v>
      </c>
      <c r="AA133" s="43"/>
      <c r="AB133" s="204">
        <f t="shared" si="42"/>
        <v>88042</v>
      </c>
      <c r="AC133" s="43">
        <f t="shared" si="33"/>
        <v>0</v>
      </c>
      <c r="AD133" s="43"/>
      <c r="AE133" s="204">
        <f t="shared" si="43"/>
        <v>83309</v>
      </c>
      <c r="AF133" s="43">
        <f t="shared" si="34"/>
        <v>0</v>
      </c>
      <c r="AG133" s="43"/>
      <c r="AH133" s="204">
        <f t="shared" si="44"/>
        <v>68732</v>
      </c>
      <c r="AI133" s="69"/>
      <c r="AJ133" s="69"/>
      <c r="AK133" s="194"/>
      <c r="AL133" s="195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</row>
    <row r="134" spans="1:52">
      <c r="A134" s="126"/>
      <c r="B134" s="549" t="s">
        <v>86</v>
      </c>
      <c r="C134" s="42" t="s">
        <v>87</v>
      </c>
      <c r="D134" s="42"/>
      <c r="E134" s="609">
        <v>0</v>
      </c>
      <c r="F134" s="42"/>
      <c r="G134" s="204">
        <f t="shared" si="35"/>
        <v>61157.998368966102</v>
      </c>
      <c r="H134" s="609">
        <v>0</v>
      </c>
      <c r="I134" s="42"/>
      <c r="J134" s="204">
        <f t="shared" si="36"/>
        <v>59854.110683522958</v>
      </c>
      <c r="K134" s="609">
        <v>0</v>
      </c>
      <c r="L134" s="42"/>
      <c r="M134" s="204">
        <f t="shared" si="37"/>
        <v>56258.864346843598</v>
      </c>
      <c r="N134" s="609">
        <v>0</v>
      </c>
      <c r="O134" s="42"/>
      <c r="P134" s="204">
        <f t="shared" si="38"/>
        <v>51893.019357364945</v>
      </c>
      <c r="Q134" s="609">
        <v>0</v>
      </c>
      <c r="R134" s="42"/>
      <c r="S134" s="204">
        <f t="shared" si="39"/>
        <v>50195.302151555334</v>
      </c>
      <c r="T134" s="609">
        <v>0</v>
      </c>
      <c r="U134" s="42"/>
      <c r="V134" s="204">
        <f t="shared" si="40"/>
        <v>44776.088906947378</v>
      </c>
      <c r="W134" s="205">
        <v>0</v>
      </c>
      <c r="X134" s="42"/>
      <c r="Y134" s="204">
        <f t="shared" si="41"/>
        <v>41664.463218329263</v>
      </c>
      <c r="Z134" s="205">
        <v>0</v>
      </c>
      <c r="AA134" s="42"/>
      <c r="AB134" s="204">
        <f t="shared" si="42"/>
        <v>38462.747342101648</v>
      </c>
      <c r="AC134" s="205">
        <v>0</v>
      </c>
      <c r="AD134" s="42"/>
      <c r="AE134" s="204">
        <f t="shared" si="43"/>
        <v>36502.55219136829</v>
      </c>
      <c r="AF134" s="205">
        <v>0</v>
      </c>
      <c r="AG134" s="42"/>
      <c r="AH134" s="204">
        <f t="shared" si="44"/>
        <v>30115.693434019642</v>
      </c>
      <c r="AI134" s="69"/>
      <c r="AJ134" s="69"/>
      <c r="AK134" s="194"/>
      <c r="AL134" s="195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/>
    </row>
    <row r="135" spans="1:52">
      <c r="A135" s="126"/>
      <c r="B135" s="548"/>
      <c r="C135" s="43"/>
      <c r="D135" s="44" t="s">
        <v>88</v>
      </c>
      <c r="E135" s="44">
        <f>E197</f>
        <v>110904.93827160494</v>
      </c>
      <c r="F135" s="44"/>
      <c r="G135" s="206"/>
      <c r="H135" s="44">
        <f>H197</f>
        <v>108893.82716049382</v>
      </c>
      <c r="I135" s="44"/>
      <c r="J135" s="206"/>
      <c r="K135" s="44">
        <f>K197</f>
        <v>108893.82716049382</v>
      </c>
      <c r="L135" s="44"/>
      <c r="M135" s="206"/>
      <c r="N135" s="44">
        <f>N197</f>
        <v>98813.580246913567</v>
      </c>
      <c r="O135" s="44"/>
      <c r="P135" s="206"/>
      <c r="Q135" s="44">
        <f>Q197</f>
        <v>94893.82716049382</v>
      </c>
      <c r="R135" s="44"/>
      <c r="S135" s="206"/>
      <c r="T135" s="44">
        <f>T197</f>
        <v>83693.827160493849</v>
      </c>
      <c r="U135" s="44"/>
      <c r="V135" s="206"/>
      <c r="W135" s="44">
        <f>W197</f>
        <v>77677.777777777766</v>
      </c>
      <c r="X135" s="44"/>
      <c r="Y135" s="206"/>
      <c r="Z135" s="44">
        <f>Z197</f>
        <v>72403.703703703693</v>
      </c>
      <c r="AA135" s="44"/>
      <c r="AB135" s="206"/>
      <c r="AC135" s="44">
        <f>AC197</f>
        <v>67879.012345679017</v>
      </c>
      <c r="AD135" s="44"/>
      <c r="AE135" s="206"/>
      <c r="AF135" s="44">
        <f>AF197</f>
        <v>56001.234567901229</v>
      </c>
      <c r="AG135" s="44"/>
      <c r="AH135" s="206"/>
      <c r="AI135" s="69"/>
      <c r="AJ135" s="69"/>
      <c r="AK135" s="194"/>
      <c r="AL135" s="195"/>
      <c r="AM135" s="126"/>
      <c r="AN135" s="126"/>
      <c r="AO135" s="126"/>
      <c r="AP135" s="126"/>
      <c r="AQ135" s="126"/>
      <c r="AR135" s="126"/>
      <c r="AS135" s="126"/>
      <c r="AT135" s="126"/>
      <c r="AU135" s="126"/>
      <c r="AV135" s="126"/>
      <c r="AW135" s="126"/>
      <c r="AX135" s="126"/>
      <c r="AY135" s="126"/>
      <c r="AZ135" s="126"/>
    </row>
    <row r="136" spans="1:52">
      <c r="A136" s="126"/>
      <c r="B136" s="549">
        <v>84</v>
      </c>
      <c r="C136" s="590">
        <v>1</v>
      </c>
      <c r="D136" s="42" t="s">
        <v>89</v>
      </c>
      <c r="E136" s="42">
        <f>E198</f>
        <v>7350</v>
      </c>
      <c r="F136" s="42"/>
      <c r="G136" s="201"/>
      <c r="H136" s="42">
        <f>H198</f>
        <v>6750</v>
      </c>
      <c r="I136" s="42"/>
      <c r="J136" s="201"/>
      <c r="K136" s="42">
        <f>K198</f>
        <v>5634</v>
      </c>
      <c r="L136" s="42"/>
      <c r="M136" s="201"/>
      <c r="N136" s="42">
        <f>N198</f>
        <v>5634</v>
      </c>
      <c r="O136" s="42"/>
      <c r="P136" s="201"/>
      <c r="Q136" s="42">
        <f>Q198</f>
        <v>5634</v>
      </c>
      <c r="R136" s="42"/>
      <c r="S136" s="201"/>
      <c r="T136" s="42">
        <f>T198</f>
        <v>5141</v>
      </c>
      <c r="U136" s="42"/>
      <c r="V136" s="201"/>
      <c r="W136" s="42">
        <f>W198</f>
        <v>5141</v>
      </c>
      <c r="X136" s="42"/>
      <c r="Y136" s="201"/>
      <c r="Z136" s="42">
        <f>Z198</f>
        <v>3907</v>
      </c>
      <c r="AA136" s="42"/>
      <c r="AB136" s="201"/>
      <c r="AC136" s="42">
        <f>AC198</f>
        <v>3907</v>
      </c>
      <c r="AD136" s="42"/>
      <c r="AE136" s="201"/>
      <c r="AF136" s="42">
        <f>AF198</f>
        <v>2830</v>
      </c>
      <c r="AG136" s="42"/>
      <c r="AH136" s="201"/>
      <c r="AI136" s="69"/>
      <c r="AJ136" s="69"/>
      <c r="AK136" s="194"/>
      <c r="AL136" s="195"/>
      <c r="AM136" s="126"/>
      <c r="AN136" s="126"/>
      <c r="AO136" s="126"/>
      <c r="AP136" s="126"/>
      <c r="AQ136" s="126"/>
      <c r="AR136" s="126"/>
      <c r="AS136" s="126"/>
      <c r="AT136" s="126"/>
      <c r="AU136" s="126"/>
      <c r="AV136" s="126"/>
      <c r="AW136" s="126"/>
      <c r="AX136" s="126"/>
      <c r="AY136" s="126"/>
      <c r="AZ136" s="126"/>
    </row>
    <row r="137" spans="1:52">
      <c r="A137" s="126"/>
      <c r="B137" s="549">
        <v>99</v>
      </c>
      <c r="C137" s="42"/>
      <c r="D137" s="42" t="s">
        <v>90</v>
      </c>
      <c r="E137" s="609">
        <v>0</v>
      </c>
      <c r="F137" s="42"/>
      <c r="G137" s="201"/>
      <c r="H137" s="609">
        <v>0</v>
      </c>
      <c r="I137" s="42"/>
      <c r="J137" s="201"/>
      <c r="K137" s="609">
        <v>0</v>
      </c>
      <c r="L137" s="42"/>
      <c r="M137" s="201"/>
      <c r="N137" s="609">
        <v>0</v>
      </c>
      <c r="O137" s="42"/>
      <c r="P137" s="201"/>
      <c r="Q137" s="609">
        <v>0</v>
      </c>
      <c r="R137" s="42"/>
      <c r="S137" s="201"/>
      <c r="T137" s="609">
        <v>0</v>
      </c>
      <c r="U137" s="42"/>
      <c r="V137" s="201"/>
      <c r="W137" s="205">
        <v>0</v>
      </c>
      <c r="X137" s="42"/>
      <c r="Y137" s="201"/>
      <c r="Z137" s="205">
        <v>0</v>
      </c>
      <c r="AA137" s="42"/>
      <c r="AB137" s="201"/>
      <c r="AC137" s="205">
        <v>0</v>
      </c>
      <c r="AD137" s="42"/>
      <c r="AE137" s="201"/>
      <c r="AF137" s="205">
        <v>0</v>
      </c>
      <c r="AG137" s="42"/>
      <c r="AH137" s="201"/>
      <c r="AI137" s="69"/>
      <c r="AJ137" s="69"/>
      <c r="AK137" s="194"/>
      <c r="AL137" s="195"/>
      <c r="AM137" s="126"/>
      <c r="AN137" s="126"/>
      <c r="AO137" s="126"/>
      <c r="AP137" s="126"/>
      <c r="AQ137" s="126"/>
      <c r="AR137" s="126"/>
      <c r="AS137" s="126"/>
      <c r="AT137" s="126"/>
      <c r="AU137" s="126"/>
      <c r="AV137" s="126"/>
      <c r="AW137" s="126"/>
      <c r="AX137" s="126"/>
      <c r="AY137" s="126"/>
      <c r="AZ137" s="126"/>
    </row>
    <row r="138" spans="1:52">
      <c r="A138" s="126"/>
      <c r="B138" s="548">
        <v>54</v>
      </c>
      <c r="C138" s="591">
        <v>1</v>
      </c>
      <c r="D138" s="43" t="s">
        <v>91</v>
      </c>
      <c r="E138" s="43">
        <f>E200</f>
        <v>2250</v>
      </c>
      <c r="F138" s="43"/>
      <c r="G138" s="201"/>
      <c r="H138" s="43">
        <f>H200</f>
        <v>2250</v>
      </c>
      <c r="I138" s="43"/>
      <c r="J138" s="201"/>
      <c r="K138" s="43">
        <f>K200</f>
        <v>2250</v>
      </c>
      <c r="L138" s="43"/>
      <c r="M138" s="201"/>
      <c r="N138" s="43">
        <f>N200</f>
        <v>2250</v>
      </c>
      <c r="O138" s="43"/>
      <c r="P138" s="201"/>
      <c r="Q138" s="43">
        <f>Q200</f>
        <v>2250</v>
      </c>
      <c r="R138" s="43"/>
      <c r="S138" s="201"/>
      <c r="T138" s="43">
        <f>T200</f>
        <v>2250</v>
      </c>
      <c r="U138" s="43"/>
      <c r="V138" s="201"/>
      <c r="W138" s="43">
        <f>W200</f>
        <v>2250</v>
      </c>
      <c r="X138" s="43"/>
      <c r="Y138" s="201"/>
      <c r="Z138" s="43">
        <f>Z200</f>
        <v>2250</v>
      </c>
      <c r="AA138" s="43"/>
      <c r="AB138" s="201"/>
      <c r="AC138" s="43">
        <f>AC200</f>
        <v>2250</v>
      </c>
      <c r="AD138" s="43"/>
      <c r="AE138" s="201"/>
      <c r="AF138" s="43">
        <f>AF200</f>
        <v>2250</v>
      </c>
      <c r="AG138" s="43"/>
      <c r="AH138" s="201"/>
      <c r="AI138" s="69"/>
      <c r="AJ138" s="69"/>
      <c r="AK138" s="194"/>
      <c r="AL138" s="195"/>
      <c r="AM138" s="126"/>
      <c r="AN138" s="126"/>
      <c r="AO138" s="126"/>
      <c r="AP138" s="126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</row>
    <row r="139" spans="1:52">
      <c r="A139" s="126"/>
      <c r="B139" s="549"/>
      <c r="C139" s="42"/>
      <c r="D139" s="45" t="s">
        <v>92</v>
      </c>
      <c r="E139" s="45">
        <f>E202</f>
        <v>123004.93827160494</v>
      </c>
      <c r="F139" s="45"/>
      <c r="G139" s="206"/>
      <c r="H139" s="45">
        <f>H202</f>
        <v>119893.82716049382</v>
      </c>
      <c r="I139" s="45"/>
      <c r="J139" s="206"/>
      <c r="K139" s="45">
        <f>K202</f>
        <v>116777.82716049382</v>
      </c>
      <c r="L139" s="45"/>
      <c r="M139" s="206"/>
      <c r="N139" s="45">
        <f>N202</f>
        <v>106697.58024691357</v>
      </c>
      <c r="O139" s="45"/>
      <c r="P139" s="206"/>
      <c r="Q139" s="45">
        <f>Q202</f>
        <v>102777.82716049382</v>
      </c>
      <c r="R139" s="45"/>
      <c r="S139" s="206"/>
      <c r="T139" s="45">
        <f>T202</f>
        <v>91084.827160493849</v>
      </c>
      <c r="U139" s="45"/>
      <c r="V139" s="206"/>
      <c r="W139" s="45">
        <f>W202</f>
        <v>85068.777777777766</v>
      </c>
      <c r="X139" s="45"/>
      <c r="Y139" s="206"/>
      <c r="Z139" s="45">
        <f>Z202</f>
        <v>78560.703703703693</v>
      </c>
      <c r="AA139" s="45"/>
      <c r="AB139" s="206"/>
      <c r="AC139" s="45">
        <f>AC202</f>
        <v>74036.012345679017</v>
      </c>
      <c r="AD139" s="45"/>
      <c r="AE139" s="206"/>
      <c r="AF139" s="45">
        <f>AF202</f>
        <v>61081.234567901229</v>
      </c>
      <c r="AG139" s="45"/>
      <c r="AH139" s="206"/>
      <c r="AI139" s="69"/>
      <c r="AJ139" s="69"/>
      <c r="AK139" s="194"/>
      <c r="AL139" s="195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6"/>
      <c r="AX139" s="126"/>
      <c r="AY139" s="126"/>
      <c r="AZ139" s="126"/>
    </row>
    <row r="140" spans="1:52">
      <c r="A140" s="126"/>
      <c r="B140" s="548">
        <v>440</v>
      </c>
      <c r="C140" s="43"/>
      <c r="D140" s="43" t="s">
        <v>93</v>
      </c>
      <c r="E140" s="610">
        <v>0</v>
      </c>
      <c r="F140" s="43">
        <f t="shared" ref="F140:F141" si="45">F203</f>
        <v>0</v>
      </c>
      <c r="G140" s="201"/>
      <c r="H140" s="610">
        <v>0</v>
      </c>
      <c r="I140" s="43">
        <f t="shared" ref="I140:I141" si="46">I203</f>
        <v>0</v>
      </c>
      <c r="J140" s="201"/>
      <c r="K140" s="610">
        <v>0</v>
      </c>
      <c r="L140" s="43">
        <f t="shared" ref="L140:L141" si="47">L203</f>
        <v>0</v>
      </c>
      <c r="M140" s="201"/>
      <c r="N140" s="610">
        <v>0</v>
      </c>
      <c r="O140" s="43">
        <f t="shared" ref="O140:O141" si="48">O203</f>
        <v>0</v>
      </c>
      <c r="P140" s="201"/>
      <c r="Q140" s="610">
        <v>0</v>
      </c>
      <c r="R140" s="43">
        <f t="shared" ref="R140:R141" si="49">R203</f>
        <v>0</v>
      </c>
      <c r="S140" s="201"/>
      <c r="T140" s="610">
        <v>0</v>
      </c>
      <c r="U140" s="43">
        <f t="shared" ref="U140:U141" si="50">U203</f>
        <v>0</v>
      </c>
      <c r="V140" s="201"/>
      <c r="W140" s="207">
        <v>0</v>
      </c>
      <c r="X140" s="43">
        <f t="shared" ref="X140:X141" si="51">X203</f>
        <v>0</v>
      </c>
      <c r="Y140" s="201"/>
      <c r="Z140" s="207">
        <v>0</v>
      </c>
      <c r="AA140" s="43">
        <f t="shared" ref="AA140:AA141" si="52">AA203</f>
        <v>0</v>
      </c>
      <c r="AB140" s="201"/>
      <c r="AC140" s="207">
        <v>0</v>
      </c>
      <c r="AD140" s="43">
        <f t="shared" ref="AD140:AD141" si="53">AD203</f>
        <v>0</v>
      </c>
      <c r="AE140" s="201"/>
      <c r="AF140" s="207">
        <v>0</v>
      </c>
      <c r="AG140" s="43">
        <f t="shared" ref="AG140:AG141" si="54">AG203</f>
        <v>0</v>
      </c>
      <c r="AH140" s="201"/>
      <c r="AI140" s="69"/>
      <c r="AJ140" s="69"/>
      <c r="AK140" s="194"/>
      <c r="AL140" s="195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6"/>
      <c r="AX140" s="126"/>
      <c r="AY140" s="126"/>
      <c r="AZ140" s="126"/>
    </row>
    <row r="141" spans="1:52">
      <c r="A141" s="126"/>
      <c r="B141" s="549">
        <v>502</v>
      </c>
      <c r="C141" s="647">
        <v>0.16</v>
      </c>
      <c r="D141" s="42" t="s">
        <v>94</v>
      </c>
      <c r="E141" s="42"/>
      <c r="F141" s="42">
        <f t="shared" si="45"/>
        <v>-17744.790123456791</v>
      </c>
      <c r="G141" s="201"/>
      <c r="H141" s="42"/>
      <c r="I141" s="42">
        <f t="shared" si="46"/>
        <v>-17423.01234567901</v>
      </c>
      <c r="J141" s="201"/>
      <c r="K141" s="42"/>
      <c r="L141" s="42">
        <f t="shared" si="47"/>
        <v>-17423.01234567901</v>
      </c>
      <c r="M141" s="201"/>
      <c r="N141" s="42"/>
      <c r="O141" s="42">
        <f t="shared" si="48"/>
        <v>-15810.172839506171</v>
      </c>
      <c r="P141" s="201"/>
      <c r="Q141" s="42"/>
      <c r="R141" s="42">
        <f t="shared" si="49"/>
        <v>-15183.012345679013</v>
      </c>
      <c r="S141" s="201"/>
      <c r="T141" s="42"/>
      <c r="U141" s="42">
        <f t="shared" si="50"/>
        <v>-13391.012345679012</v>
      </c>
      <c r="V141" s="201"/>
      <c r="W141" s="42">
        <f>W204</f>
        <v>0</v>
      </c>
      <c r="X141" s="42">
        <f t="shared" si="51"/>
        <v>-12428.444444444445</v>
      </c>
      <c r="Y141" s="201"/>
      <c r="Z141" s="42">
        <f>Z204</f>
        <v>0</v>
      </c>
      <c r="AA141" s="42">
        <f t="shared" si="52"/>
        <v>-11584.592592592591</v>
      </c>
      <c r="AB141" s="201"/>
      <c r="AC141" s="42">
        <f>AC204</f>
        <v>0</v>
      </c>
      <c r="AD141" s="42">
        <f t="shared" si="53"/>
        <v>-10860.641975308641</v>
      </c>
      <c r="AE141" s="201"/>
      <c r="AF141" s="42">
        <f>AF204</f>
        <v>0</v>
      </c>
      <c r="AG141" s="42">
        <f t="shared" si="54"/>
        <v>-8960.1975308641977</v>
      </c>
      <c r="AH141" s="201"/>
      <c r="AI141" s="69"/>
      <c r="AJ141" s="69"/>
      <c r="AK141" s="194"/>
      <c r="AL141" s="195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6"/>
      <c r="AW141" s="126"/>
      <c r="AX141" s="126"/>
      <c r="AY141" s="126"/>
      <c r="AZ141" s="126"/>
    </row>
    <row r="142" spans="1:52">
      <c r="A142" s="126"/>
      <c r="B142" s="549">
        <v>505</v>
      </c>
      <c r="C142" s="644">
        <v>0.03</v>
      </c>
      <c r="D142" s="42" t="s">
        <v>95</v>
      </c>
      <c r="E142" s="42"/>
      <c r="F142" s="42">
        <f>F205</f>
        <v>-3327.1481481481478</v>
      </c>
      <c r="G142" s="201"/>
      <c r="H142" s="42"/>
      <c r="I142" s="42">
        <f>I205</f>
        <v>-3266.8148148148143</v>
      </c>
      <c r="J142" s="201"/>
      <c r="K142" s="42"/>
      <c r="L142" s="42">
        <f>L205</f>
        <v>-3266.8148148148143</v>
      </c>
      <c r="M142" s="201"/>
      <c r="N142" s="42"/>
      <c r="O142" s="42">
        <f>O205</f>
        <v>-2964.4074074074069</v>
      </c>
      <c r="P142" s="201"/>
      <c r="Q142" s="42"/>
      <c r="R142" s="42">
        <f>R205</f>
        <v>-2846.8148148148143</v>
      </c>
      <c r="S142" s="201"/>
      <c r="T142" s="42"/>
      <c r="U142" s="42">
        <f>U205</f>
        <v>-2510.8148148148148</v>
      </c>
      <c r="V142" s="201"/>
      <c r="W142" s="42">
        <f>W205</f>
        <v>0</v>
      </c>
      <c r="X142" s="42">
        <f>X205</f>
        <v>-2330.333333333333</v>
      </c>
      <c r="Y142" s="201"/>
      <c r="Z142" s="42">
        <f>Z205</f>
        <v>0</v>
      </c>
      <c r="AA142" s="42">
        <f>AA205</f>
        <v>-2172.1111111111109</v>
      </c>
      <c r="AB142" s="201"/>
      <c r="AC142" s="42">
        <f>AC205</f>
        <v>0</v>
      </c>
      <c r="AD142" s="42">
        <f>AD205</f>
        <v>-2036.3703703703702</v>
      </c>
      <c r="AE142" s="201"/>
      <c r="AF142" s="42">
        <f>AF205</f>
        <v>0</v>
      </c>
      <c r="AG142" s="42">
        <f>AG205</f>
        <v>-1680.037037037037</v>
      </c>
      <c r="AH142" s="201"/>
      <c r="AI142" s="69"/>
      <c r="AJ142" s="69"/>
      <c r="AK142" s="194"/>
      <c r="AL142" s="195"/>
      <c r="AM142" s="126"/>
      <c r="AN142" s="126"/>
      <c r="AO142" s="126"/>
      <c r="AP142" s="126"/>
      <c r="AQ142" s="126"/>
      <c r="AR142" s="126"/>
      <c r="AS142" s="126"/>
      <c r="AT142" s="126"/>
      <c r="AU142" s="126"/>
      <c r="AV142" s="126"/>
      <c r="AW142" s="126"/>
      <c r="AX142" s="126"/>
      <c r="AY142" s="126"/>
      <c r="AZ142" s="126"/>
    </row>
    <row r="143" spans="1:52">
      <c r="A143" s="126"/>
      <c r="B143" s="548">
        <v>510</v>
      </c>
      <c r="C143" s="43"/>
      <c r="D143" s="43" t="s">
        <v>96</v>
      </c>
      <c r="E143" s="610">
        <v>0</v>
      </c>
      <c r="F143" s="43">
        <f>F206</f>
        <v>0</v>
      </c>
      <c r="G143" s="201"/>
      <c r="H143" s="610">
        <v>0</v>
      </c>
      <c r="I143" s="43">
        <f>I206</f>
        <v>0</v>
      </c>
      <c r="J143" s="201"/>
      <c r="K143" s="610">
        <v>0</v>
      </c>
      <c r="L143" s="43">
        <f>L206</f>
        <v>0</v>
      </c>
      <c r="M143" s="201"/>
      <c r="N143" s="610"/>
      <c r="O143" s="43">
        <f>O206</f>
        <v>0</v>
      </c>
      <c r="P143" s="201"/>
      <c r="Q143" s="610"/>
      <c r="R143" s="43">
        <f>R206</f>
        <v>0</v>
      </c>
      <c r="S143" s="201"/>
      <c r="T143" s="610"/>
      <c r="U143" s="43">
        <f>U206</f>
        <v>0</v>
      </c>
      <c r="V143" s="201"/>
      <c r="W143" s="207">
        <v>0</v>
      </c>
      <c r="X143" s="43">
        <f>X206</f>
        <v>0</v>
      </c>
      <c r="Y143" s="201"/>
      <c r="Z143" s="207">
        <v>0</v>
      </c>
      <c r="AA143" s="43">
        <f>AA206</f>
        <v>0</v>
      </c>
      <c r="AB143" s="201"/>
      <c r="AC143" s="207">
        <v>0</v>
      </c>
      <c r="AD143" s="43">
        <f>AD206</f>
        <v>0</v>
      </c>
      <c r="AE143" s="201"/>
      <c r="AF143" s="207">
        <v>0</v>
      </c>
      <c r="AG143" s="43">
        <f>AG206</f>
        <v>0</v>
      </c>
      <c r="AH143" s="201"/>
      <c r="AI143" s="69"/>
      <c r="AJ143" s="69"/>
      <c r="AK143" s="194"/>
      <c r="AL143" s="195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</row>
    <row r="144" spans="1:52">
      <c r="A144" s="126"/>
      <c r="B144" s="549">
        <v>332</v>
      </c>
      <c r="C144" s="589">
        <v>0</v>
      </c>
      <c r="D144" s="42" t="s">
        <v>97</v>
      </c>
      <c r="E144" s="42"/>
      <c r="F144" s="42">
        <f>F207</f>
        <v>0</v>
      </c>
      <c r="G144" s="201"/>
      <c r="H144" s="42"/>
      <c r="I144" s="42">
        <f>I207</f>
        <v>0</v>
      </c>
      <c r="J144" s="201"/>
      <c r="K144" s="42"/>
      <c r="L144" s="42">
        <f>L207</f>
        <v>0</v>
      </c>
      <c r="M144" s="201"/>
      <c r="N144" s="755"/>
      <c r="O144" s="42">
        <f>O207</f>
        <v>0</v>
      </c>
      <c r="P144" s="201"/>
      <c r="Q144" s="755"/>
      <c r="R144" s="42">
        <f>R207</f>
        <v>0</v>
      </c>
      <c r="S144" s="201"/>
      <c r="T144" s="42"/>
      <c r="U144" s="42">
        <f>U207</f>
        <v>0</v>
      </c>
      <c r="V144" s="201"/>
      <c r="W144" s="42">
        <f>W207</f>
        <v>0</v>
      </c>
      <c r="X144" s="42">
        <f>X207</f>
        <v>0</v>
      </c>
      <c r="Y144" s="201"/>
      <c r="Z144" s="42">
        <f>Z207</f>
        <v>0</v>
      </c>
      <c r="AA144" s="42">
        <f>AA207</f>
        <v>0</v>
      </c>
      <c r="AB144" s="201"/>
      <c r="AC144" s="42">
        <f>AC207</f>
        <v>0</v>
      </c>
      <c r="AD144" s="42">
        <f>AD207</f>
        <v>0</v>
      </c>
      <c r="AE144" s="201"/>
      <c r="AF144" s="42">
        <f>AF207</f>
        <v>0</v>
      </c>
      <c r="AG144" s="42">
        <f>AG207</f>
        <v>0</v>
      </c>
      <c r="AH144" s="201"/>
      <c r="AI144" s="69"/>
      <c r="AJ144" s="69"/>
      <c r="AK144" s="194"/>
      <c r="AL144" s="195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6"/>
      <c r="AW144" s="126"/>
      <c r="AX144" s="126"/>
      <c r="AY144" s="126"/>
      <c r="AZ144" s="126"/>
    </row>
    <row r="145" spans="1:52">
      <c r="A145" s="126"/>
      <c r="B145" s="202"/>
      <c r="C145" s="589"/>
      <c r="D145" s="43" t="s">
        <v>98</v>
      </c>
      <c r="E145" s="610">
        <v>0</v>
      </c>
      <c r="F145" s="43">
        <f>F208</f>
        <v>0</v>
      </c>
      <c r="G145" s="201"/>
      <c r="H145" s="610">
        <v>0</v>
      </c>
      <c r="I145" s="43">
        <f>I208</f>
        <v>0</v>
      </c>
      <c r="J145" s="201"/>
      <c r="K145" s="610">
        <v>0</v>
      </c>
      <c r="L145" s="43">
        <f>L208</f>
        <v>0</v>
      </c>
      <c r="M145" s="201"/>
      <c r="N145" s="610">
        <v>0</v>
      </c>
      <c r="O145" s="43">
        <f>O208</f>
        <v>0</v>
      </c>
      <c r="P145" s="201"/>
      <c r="Q145" s="610">
        <v>0</v>
      </c>
      <c r="R145" s="43">
        <f>R208</f>
        <v>0</v>
      </c>
      <c r="S145" s="201"/>
      <c r="T145" s="610">
        <v>0</v>
      </c>
      <c r="U145" s="43">
        <f>U208</f>
        <v>0</v>
      </c>
      <c r="V145" s="201"/>
      <c r="W145" s="207">
        <v>0</v>
      </c>
      <c r="X145" s="43">
        <f>X208</f>
        <v>0</v>
      </c>
      <c r="Y145" s="201"/>
      <c r="Z145" s="207">
        <v>0</v>
      </c>
      <c r="AA145" s="43">
        <f>AA208</f>
        <v>0</v>
      </c>
      <c r="AB145" s="201"/>
      <c r="AC145" s="207">
        <v>0</v>
      </c>
      <c r="AD145" s="43">
        <f>AD208</f>
        <v>0</v>
      </c>
      <c r="AE145" s="201"/>
      <c r="AF145" s="207">
        <v>0</v>
      </c>
      <c r="AG145" s="43">
        <f>AG208</f>
        <v>0</v>
      </c>
      <c r="AH145" s="201"/>
      <c r="AI145" s="69"/>
      <c r="AJ145" s="69"/>
      <c r="AK145" s="194"/>
      <c r="AL145" s="195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</row>
    <row r="146" spans="1:52">
      <c r="A146" s="126"/>
      <c r="B146" s="209"/>
      <c r="C146" s="210"/>
      <c r="D146" s="211" t="s">
        <v>99</v>
      </c>
      <c r="E146" s="211"/>
      <c r="F146" s="211">
        <f>F209</f>
        <v>-21071.938271604937</v>
      </c>
      <c r="G146" s="212"/>
      <c r="H146" s="211"/>
      <c r="I146" s="211">
        <f>I209</f>
        <v>-20689.827160493824</v>
      </c>
      <c r="J146" s="212"/>
      <c r="K146" s="211"/>
      <c r="L146" s="211">
        <f>L209</f>
        <v>-20689.827160493824</v>
      </c>
      <c r="M146" s="212"/>
      <c r="N146" s="211"/>
      <c r="O146" s="211">
        <f>O209</f>
        <v>-18774.580246913578</v>
      </c>
      <c r="P146" s="212"/>
      <c r="Q146" s="211">
        <f>Q209</f>
        <v>0</v>
      </c>
      <c r="R146" s="211">
        <f>R209</f>
        <v>-18029.827160493827</v>
      </c>
      <c r="S146" s="212"/>
      <c r="T146" s="211"/>
      <c r="U146" s="211">
        <f>U209</f>
        <v>-15901.827160493827</v>
      </c>
      <c r="V146" s="212"/>
      <c r="W146" s="211">
        <f>W209</f>
        <v>0</v>
      </c>
      <c r="X146" s="211">
        <f>X209</f>
        <v>-14758.777777777777</v>
      </c>
      <c r="Y146" s="212"/>
      <c r="Z146" s="211">
        <f>Z209</f>
        <v>0</v>
      </c>
      <c r="AA146" s="211">
        <f>AA209</f>
        <v>-13756.703703703703</v>
      </c>
      <c r="AB146" s="212"/>
      <c r="AC146" s="211">
        <f>AC209</f>
        <v>0</v>
      </c>
      <c r="AD146" s="211">
        <f>AD209</f>
        <v>-12897.012345679012</v>
      </c>
      <c r="AE146" s="212"/>
      <c r="AF146" s="211">
        <f>AF209</f>
        <v>0</v>
      </c>
      <c r="AG146" s="211">
        <f>AG209</f>
        <v>-10640.234567901234</v>
      </c>
      <c r="AH146" s="212"/>
      <c r="AI146" s="69"/>
      <c r="AJ146" s="69"/>
      <c r="AK146" s="194"/>
      <c r="AL146" s="195"/>
      <c r="AM146" s="126"/>
      <c r="AN146" s="126"/>
      <c r="AO146" s="126"/>
      <c r="AP146" s="126"/>
      <c r="AQ146" s="126"/>
      <c r="AR146" s="126"/>
      <c r="AS146" s="126"/>
      <c r="AT146" s="126"/>
      <c r="AU146" s="126"/>
      <c r="AV146" s="126"/>
      <c r="AW146" s="126"/>
      <c r="AX146" s="126"/>
      <c r="AY146" s="126"/>
      <c r="AZ146" s="126"/>
    </row>
    <row r="147" spans="1:52">
      <c r="A147" s="126"/>
      <c r="B147" s="213"/>
      <c r="C147" s="61"/>
      <c r="D147" s="61"/>
      <c r="E147" s="61"/>
      <c r="F147" s="61"/>
      <c r="G147" s="214"/>
      <c r="H147" s="61"/>
      <c r="I147" s="61"/>
      <c r="J147" s="214"/>
      <c r="K147" s="61"/>
      <c r="L147" s="61"/>
      <c r="M147" s="214"/>
      <c r="N147" s="61"/>
      <c r="O147" s="61"/>
      <c r="P147" s="214"/>
      <c r="Q147" s="61"/>
      <c r="R147" s="61"/>
      <c r="S147" s="214"/>
      <c r="T147" s="61"/>
      <c r="U147" s="61"/>
      <c r="V147" s="214"/>
      <c r="W147" s="61"/>
      <c r="X147" s="61"/>
      <c r="Y147" s="214"/>
      <c r="Z147" s="61"/>
      <c r="AA147" s="61"/>
      <c r="AB147" s="214"/>
      <c r="AC147" s="61"/>
      <c r="AD147" s="61"/>
      <c r="AE147" s="214"/>
      <c r="AF147" s="61"/>
      <c r="AG147" s="61"/>
      <c r="AH147" s="214"/>
      <c r="AI147" s="69"/>
      <c r="AJ147" s="69"/>
      <c r="AK147" s="194"/>
      <c r="AL147" s="195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</row>
    <row r="148" spans="1:52">
      <c r="A148" s="126"/>
      <c r="B148" s="61"/>
      <c r="C148" s="61"/>
      <c r="D148" s="215"/>
      <c r="E148" s="216" t="str">
        <f>E211</f>
        <v>Sueldo líquido</v>
      </c>
      <c r="F148" s="696">
        <f>F211</f>
        <v>101933</v>
      </c>
      <c r="G148" s="214"/>
      <c r="H148" s="216" t="str">
        <f>H211</f>
        <v>Sueldo líquido</v>
      </c>
      <c r="I148" s="696">
        <f>I211</f>
        <v>99204</v>
      </c>
      <c r="J148" s="214"/>
      <c r="K148" s="216" t="str">
        <f>K211</f>
        <v>Sueldo líquido</v>
      </c>
      <c r="L148" s="696">
        <f>L211</f>
        <v>96088</v>
      </c>
      <c r="M148" s="214"/>
      <c r="N148" s="216" t="str">
        <f>N211</f>
        <v>Sueldo líquido</v>
      </c>
      <c r="O148" s="696">
        <f>O211</f>
        <v>87922.999999999985</v>
      </c>
      <c r="P148" s="214"/>
      <c r="Q148" s="216" t="str">
        <f>Q211</f>
        <v>Sueldo líquido</v>
      </c>
      <c r="R148" s="696">
        <f>R211</f>
        <v>84748</v>
      </c>
      <c r="S148" s="214"/>
      <c r="T148" s="216" t="str">
        <f>T211</f>
        <v>Sueldo líquido</v>
      </c>
      <c r="U148" s="696">
        <f>U211</f>
        <v>75183.000000000029</v>
      </c>
      <c r="V148" s="214"/>
      <c r="W148" s="216" t="str">
        <f>W211</f>
        <v>Sueldo líquido</v>
      </c>
      <c r="X148" s="696">
        <f>X211</f>
        <v>70309.999999999985</v>
      </c>
      <c r="Y148" s="214"/>
      <c r="Z148" s="216" t="str">
        <f>Z211</f>
        <v>Sueldo líquido</v>
      </c>
      <c r="AA148" s="696">
        <f>AA211</f>
        <v>64803.999999999993</v>
      </c>
      <c r="AB148" s="214"/>
      <c r="AC148" s="216" t="str">
        <f>AC211</f>
        <v>Sueldo líquido</v>
      </c>
      <c r="AD148" s="696">
        <f>AD211</f>
        <v>61139.000000000007</v>
      </c>
      <c r="AE148" s="214"/>
      <c r="AF148" s="216" t="str">
        <f>AF211</f>
        <v>Sueldo líquido</v>
      </c>
      <c r="AG148" s="696">
        <f>AG211</f>
        <v>50440.999999999993</v>
      </c>
      <c r="AH148" s="214"/>
      <c r="AI148" s="69"/>
      <c r="AJ148" s="69"/>
      <c r="AK148" s="194"/>
      <c r="AL148" s="195"/>
      <c r="AM148" s="126"/>
      <c r="AN148" s="126"/>
      <c r="AO148" s="126"/>
      <c r="AP148" s="126"/>
      <c r="AQ148" s="126"/>
      <c r="AR148" s="126"/>
      <c r="AS148" s="126"/>
      <c r="AT148" s="126"/>
      <c r="AU148" s="126"/>
      <c r="AV148" s="126"/>
      <c r="AW148" s="126"/>
      <c r="AX148" s="126"/>
      <c r="AY148" s="126"/>
      <c r="AZ148" s="126"/>
    </row>
    <row r="149" spans="1:52" ht="15">
      <c r="A149" s="126"/>
      <c r="B149" s="61"/>
      <c r="C149" s="61"/>
      <c r="D149" s="717"/>
      <c r="E149" s="217"/>
      <c r="F149" s="217"/>
      <c r="G149" s="214"/>
      <c r="H149" s="217"/>
      <c r="I149" s="217"/>
      <c r="J149" s="214"/>
      <c r="K149" s="217"/>
      <c r="L149" s="217"/>
      <c r="M149" s="214"/>
      <c r="N149" s="217"/>
      <c r="O149" s="217"/>
      <c r="P149" s="214"/>
      <c r="Q149" s="217"/>
      <c r="R149" s="217"/>
      <c r="S149" s="214"/>
      <c r="T149" s="217"/>
      <c r="U149" s="217"/>
      <c r="V149" s="214"/>
      <c r="W149" s="217"/>
      <c r="X149" s="217"/>
      <c r="Y149" s="214"/>
      <c r="Z149" s="217"/>
      <c r="AA149" s="217"/>
      <c r="AB149" s="214"/>
      <c r="AC149" s="217"/>
      <c r="AD149" s="217"/>
      <c r="AE149" s="214"/>
      <c r="AF149" s="217"/>
      <c r="AG149" s="217"/>
      <c r="AH149" s="214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</row>
    <row r="150" spans="1:52">
      <c r="A150" s="126"/>
      <c r="B150" s="61"/>
      <c r="D150" s="718"/>
      <c r="E150" s="217" t="str">
        <f t="shared" ref="E150" si="55">E213</f>
        <v>Total remunerativos</v>
      </c>
      <c r="F150" s="217"/>
      <c r="G150" s="214"/>
      <c r="H150" s="217" t="str">
        <f t="shared" ref="H150" si="56">H213</f>
        <v>Total remunerativos</v>
      </c>
      <c r="I150" s="217"/>
      <c r="J150" s="214"/>
      <c r="K150" s="217" t="str">
        <f t="shared" ref="K150" si="57">K213</f>
        <v>Total remunerativos</v>
      </c>
      <c r="L150" s="217"/>
      <c r="M150" s="214"/>
      <c r="N150" s="217" t="str">
        <f t="shared" ref="N150" si="58">N213</f>
        <v>Total remunerativos</v>
      </c>
      <c r="O150" s="217"/>
      <c r="P150" s="214"/>
      <c r="Q150" s="217" t="str">
        <f t="shared" ref="Q150" si="59">Q213</f>
        <v>Total remunerativos</v>
      </c>
      <c r="R150" s="217"/>
      <c r="S150" s="214"/>
      <c r="T150" s="217" t="str">
        <f t="shared" ref="T150" si="60">T213</f>
        <v>Total remunerativos</v>
      </c>
      <c r="U150" s="217"/>
      <c r="V150" s="214"/>
      <c r="W150" s="217" t="str">
        <f t="shared" ref="W150" si="61">W213</f>
        <v>Total remunerativos</v>
      </c>
      <c r="X150" s="217"/>
      <c r="Y150" s="214"/>
      <c r="Z150" s="217" t="str">
        <f t="shared" ref="Z150" si="62">Z213</f>
        <v>Total remunerativos</v>
      </c>
      <c r="AA150" s="217"/>
      <c r="AB150" s="214"/>
      <c r="AC150" s="217" t="str">
        <f t="shared" ref="AC150" si="63">AC213</f>
        <v>Total remunerativos</v>
      </c>
      <c r="AD150" s="217"/>
      <c r="AE150" s="214"/>
      <c r="AF150" s="217" t="str">
        <f t="shared" ref="AF150" si="64">AF213</f>
        <v>Total remunerativos</v>
      </c>
      <c r="AG150" s="217"/>
      <c r="AH150" s="214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</row>
    <row r="151" spans="1:52" ht="18">
      <c r="A151" s="126"/>
      <c r="B151" s="61"/>
      <c r="C151" s="61"/>
      <c r="D151" s="719"/>
      <c r="E151" s="217">
        <f t="shared" ref="E151:F151" si="65">E214</f>
        <v>92625.139276070462</v>
      </c>
      <c r="F151" s="217" t="str">
        <f t="shared" si="65"/>
        <v>sin 188 y 14</v>
      </c>
      <c r="G151" s="214"/>
      <c r="H151" s="217">
        <f t="shared" ref="H151:I151" si="66">H214</f>
        <v>90144.990457519307</v>
      </c>
      <c r="I151" s="217" t="str">
        <f t="shared" si="66"/>
        <v>sin 188 y 14</v>
      </c>
      <c r="J151" s="214"/>
      <c r="K151" s="217">
        <f t="shared" ref="K151:L151" si="67">K214</f>
        <v>90144.990457519307</v>
      </c>
      <c r="L151" s="217" t="str">
        <f t="shared" si="67"/>
        <v>sin 188 y 14</v>
      </c>
      <c r="M151" s="214"/>
      <c r="N151" s="217">
        <f t="shared" ref="N151:O151" si="68">N214</f>
        <v>81800.395213545416</v>
      </c>
      <c r="O151" s="217" t="str">
        <f t="shared" si="68"/>
        <v>sin 188 y 14</v>
      </c>
      <c r="P151" s="214"/>
      <c r="Q151" s="217">
        <f t="shared" ref="Q151:R151" si="69">Q214</f>
        <v>78555.224228699983</v>
      </c>
      <c r="R151" s="217" t="str">
        <f t="shared" si="69"/>
        <v>sin 188 y 14</v>
      </c>
      <c r="S151" s="214"/>
      <c r="T151" s="217">
        <f t="shared" ref="T151:U151" si="70">T214</f>
        <v>69283.412030060121</v>
      </c>
      <c r="U151" s="217" t="str">
        <f t="shared" si="70"/>
        <v>sin 188 y 14</v>
      </c>
      <c r="V151" s="214"/>
      <c r="W151" s="217">
        <f t="shared" ref="W151:X151" si="71">W214</f>
        <v>64573.345344041998</v>
      </c>
      <c r="X151" s="217" t="str">
        <f t="shared" si="71"/>
        <v>sin 188 y 14</v>
      </c>
      <c r="Y151" s="214"/>
      <c r="Z151" s="217">
        <f t="shared" ref="Z151:AA151" si="72">Z214</f>
        <v>59937.452936543821</v>
      </c>
      <c r="AA151" s="217" t="str">
        <f t="shared" si="72"/>
        <v>sin 188 y 14</v>
      </c>
      <c r="AB151" s="214"/>
      <c r="AC151" s="217">
        <f t="shared" ref="AC151:AD151" si="73">AC214</f>
        <v>56191.651871285299</v>
      </c>
      <c r="AD151" s="217" t="str">
        <f t="shared" si="73"/>
        <v>sin 188 y 14</v>
      </c>
      <c r="AE151" s="214"/>
      <c r="AF151" s="217">
        <f t="shared" ref="AF151:AG151" si="74">AF214</f>
        <v>46358.924074981696</v>
      </c>
      <c r="AG151" s="217" t="str">
        <f t="shared" si="74"/>
        <v>sin 188 y 14</v>
      </c>
      <c r="AH151" s="214"/>
      <c r="AI151" s="69"/>
      <c r="AJ151" s="194"/>
      <c r="AK151" s="195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  <c r="AV151" s="126"/>
      <c r="AW151" s="126"/>
      <c r="AX151" s="126"/>
      <c r="AY151" s="126"/>
    </row>
    <row r="152" spans="1:52" ht="16.5" thickBot="1">
      <c r="A152" s="126"/>
      <c r="B152" s="61"/>
      <c r="C152" s="61"/>
      <c r="D152" s="720"/>
      <c r="E152" s="213">
        <f t="shared" ref="E152:F152" si="75">E215</f>
        <v>49604.04876023042</v>
      </c>
      <c r="F152" s="213" t="str">
        <f t="shared" si="75"/>
        <v>con 188 y 14</v>
      </c>
      <c r="G152" s="214"/>
      <c r="H152" s="213">
        <f t="shared" ref="H152:I152" si="76">H215</f>
        <v>49604.04876023042</v>
      </c>
      <c r="I152" s="213" t="str">
        <f t="shared" si="76"/>
        <v>con 188 y 14</v>
      </c>
      <c r="J152" s="214"/>
      <c r="K152" s="213">
        <f t="shared" ref="K152:L152" si="77">K215</f>
        <v>49604.04876023042</v>
      </c>
      <c r="L152" s="213" t="str">
        <f t="shared" si="77"/>
        <v>con 188 y 14</v>
      </c>
      <c r="M152" s="214"/>
      <c r="N152" s="213">
        <f t="shared" ref="N152:O152" si="78">N215</f>
        <v>49604.04876023042</v>
      </c>
      <c r="O152" s="213" t="str">
        <f t="shared" si="78"/>
        <v>con 188 y 14</v>
      </c>
      <c r="P152" s="214"/>
      <c r="Q152" s="213">
        <f t="shared" ref="Q152:R152" si="79">Q215</f>
        <v>49604.04876023042</v>
      </c>
      <c r="R152" s="213" t="str">
        <f t="shared" si="79"/>
        <v>con 188 y 14</v>
      </c>
      <c r="S152" s="214"/>
      <c r="T152" s="213">
        <f t="shared" ref="T152:U152" si="80">T215</f>
        <v>49604.04876023042</v>
      </c>
      <c r="U152" s="213" t="str">
        <f t="shared" si="80"/>
        <v>con 188 y 14</v>
      </c>
      <c r="V152" s="214"/>
      <c r="W152" s="213">
        <f t="shared" ref="W152:X152" si="81">W215</f>
        <v>49604.04876023042</v>
      </c>
      <c r="X152" s="213" t="str">
        <f t="shared" si="81"/>
        <v>con 188 y 14</v>
      </c>
      <c r="Y152" s="214"/>
      <c r="Z152" s="213">
        <f t="shared" ref="Z152:AA152" si="82">Z215</f>
        <v>49604.04876023042</v>
      </c>
      <c r="AA152" s="213" t="str">
        <f t="shared" si="82"/>
        <v>con 188 y 14</v>
      </c>
      <c r="AB152" s="214"/>
      <c r="AC152" s="213">
        <f t="shared" ref="AC152:AD152" si="83">AC215</f>
        <v>49604.04876023042</v>
      </c>
      <c r="AD152" s="213" t="str">
        <f t="shared" si="83"/>
        <v>con 188 y 14</v>
      </c>
      <c r="AE152" s="214"/>
      <c r="AF152" s="213">
        <f t="shared" ref="AF152:AG152" si="84">AF215</f>
        <v>49604.04876023042</v>
      </c>
      <c r="AG152" s="213" t="str">
        <f t="shared" si="84"/>
        <v>con 188 y 14</v>
      </c>
      <c r="AH152" s="214"/>
      <c r="AI152" s="69"/>
      <c r="AJ152" s="194"/>
      <c r="AK152" s="195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  <c r="AV152" s="126"/>
      <c r="AW152" s="126"/>
      <c r="AX152" s="126"/>
      <c r="AY152" s="126"/>
    </row>
    <row r="153" spans="1:52">
      <c r="A153" s="126"/>
      <c r="B153" s="61"/>
      <c r="C153" s="61"/>
      <c r="D153" s="720"/>
      <c r="E153" s="716" t="str">
        <f t="shared" ref="E153:F153" si="85">E216</f>
        <v>Aumento del mes</v>
      </c>
      <c r="F153" s="698">
        <f t="shared" si="85"/>
        <v>2729</v>
      </c>
      <c r="G153" s="214"/>
      <c r="H153" s="716" t="str">
        <f t="shared" ref="H153:I153" si="86">H216</f>
        <v>Aumento del mes</v>
      </c>
      <c r="I153" s="698">
        <f t="shared" si="86"/>
        <v>3116</v>
      </c>
      <c r="J153" s="214"/>
      <c r="K153" s="716" t="str">
        <f t="shared" ref="K153:L153" si="87">K216</f>
        <v>Aumento del mes</v>
      </c>
      <c r="L153" s="698">
        <f t="shared" si="87"/>
        <v>8165.0000000000146</v>
      </c>
      <c r="M153" s="214"/>
      <c r="N153" s="218" t="str">
        <f t="shared" ref="N153:O153" si="88">N216</f>
        <v>Aumento del mes</v>
      </c>
      <c r="O153" s="698">
        <f t="shared" si="88"/>
        <v>3174.9999999999854</v>
      </c>
      <c r="P153" s="214"/>
      <c r="Q153" s="716" t="str">
        <f t="shared" ref="Q153:R153" si="89">Q216</f>
        <v>Aumento del mes</v>
      </c>
      <c r="R153" s="698">
        <f t="shared" si="89"/>
        <v>9564.9999999999709</v>
      </c>
      <c r="S153" s="214"/>
      <c r="T153" s="218" t="str">
        <f t="shared" ref="T153:U153" si="90">T216</f>
        <v>Aumento del mes</v>
      </c>
      <c r="U153" s="698">
        <f t="shared" si="90"/>
        <v>4873.0000000000437</v>
      </c>
      <c r="V153" s="214"/>
      <c r="W153" s="218" t="str">
        <f t="shared" ref="W153:X153" si="91">W216</f>
        <v>Aumento del mes</v>
      </c>
      <c r="X153" s="698">
        <f t="shared" si="91"/>
        <v>5505.9999999999927</v>
      </c>
      <c r="Y153" s="214"/>
      <c r="Z153" s="218" t="str">
        <f t="shared" ref="Z153:AA153" si="92">Z216</f>
        <v>Aumento del mes</v>
      </c>
      <c r="AA153" s="698">
        <f t="shared" si="92"/>
        <v>3664.9999999999854</v>
      </c>
      <c r="AB153" s="214"/>
      <c r="AC153" s="218" t="str">
        <f t="shared" ref="AC153:AD153" si="93">AC216</f>
        <v>Aumento del mes</v>
      </c>
      <c r="AD153" s="698">
        <f t="shared" si="93"/>
        <v>10698.000000000015</v>
      </c>
      <c r="AE153" s="214"/>
      <c r="AF153" s="218"/>
      <c r="AG153" s="219"/>
      <c r="AH153" s="214"/>
      <c r="AI153" s="69"/>
      <c r="AJ153" s="194"/>
      <c r="AK153" s="195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</row>
    <row r="154" spans="1:52" ht="16.5" thickBot="1">
      <c r="A154" s="126"/>
      <c r="B154" s="61"/>
      <c r="C154" s="61"/>
      <c r="D154" s="61"/>
      <c r="E154" s="220" t="str">
        <f t="shared" ref="E154:F154" si="94">E217</f>
        <v>Porc resp a anterior</v>
      </c>
      <c r="F154" s="578">
        <f t="shared" si="94"/>
        <v>2.7508971412443045E-2</v>
      </c>
      <c r="G154" s="214"/>
      <c r="H154" s="220" t="str">
        <f t="shared" ref="H154:I154" si="95">H217</f>
        <v>Porc resp a anterior</v>
      </c>
      <c r="I154" s="578">
        <f t="shared" si="95"/>
        <v>3.2428607110149027E-2</v>
      </c>
      <c r="J154" s="214"/>
      <c r="K154" s="220" t="str">
        <f t="shared" ref="K154:L154" si="96">K217</f>
        <v>Porc resp a anterior</v>
      </c>
      <c r="L154" s="578">
        <f t="shared" si="96"/>
        <v>9.286534808866867E-2</v>
      </c>
      <c r="M154" s="214"/>
      <c r="N154" s="220" t="str">
        <f t="shared" ref="N154:O154" si="97">N217</f>
        <v>Porc resp a anterior</v>
      </c>
      <c r="O154" s="578">
        <f t="shared" si="97"/>
        <v>3.7464010950110746E-2</v>
      </c>
      <c r="P154" s="214"/>
      <c r="Q154" s="220" t="str">
        <f t="shared" ref="Q154:R154" si="98">Q217</f>
        <v>Porc resp a anterior</v>
      </c>
      <c r="R154" s="578">
        <f t="shared" si="98"/>
        <v>0.12722290943431316</v>
      </c>
      <c r="S154" s="214"/>
      <c r="T154" s="220" t="str">
        <f t="shared" ref="T154:U154" si="99">T217</f>
        <v>Porc resp a anterior</v>
      </c>
      <c r="U154" s="578">
        <f t="shared" si="99"/>
        <v>6.9307353150334872E-2</v>
      </c>
      <c r="V154" s="214"/>
      <c r="W154" s="220" t="str">
        <f t="shared" ref="W154:X154" si="100">W217</f>
        <v>Porc resp a anterior</v>
      </c>
      <c r="X154" s="578">
        <f t="shared" si="100"/>
        <v>8.4963891117832133E-2</v>
      </c>
      <c r="Y154" s="214"/>
      <c r="Z154" s="220" t="str">
        <f t="shared" ref="Z154:AA154" si="101">Z217</f>
        <v>Porc resp a anterior</v>
      </c>
      <c r="AA154" s="578">
        <f t="shared" si="101"/>
        <v>5.9945370385514729E-2</v>
      </c>
      <c r="AB154" s="214"/>
      <c r="AC154" s="220" t="str">
        <f t="shared" ref="AC154:AD154" si="102">AC217</f>
        <v>Porc resp a anterior</v>
      </c>
      <c r="AD154" s="578">
        <f t="shared" si="102"/>
        <v>0.21208937174124257</v>
      </c>
      <c r="AE154" s="214"/>
      <c r="AF154" s="220"/>
      <c r="AG154" s="221"/>
      <c r="AH154" s="214"/>
      <c r="AI154" s="69"/>
      <c r="AJ154" s="194"/>
      <c r="AK154" s="195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  <c r="AV154" s="126"/>
      <c r="AW154" s="126"/>
      <c r="AX154" s="126"/>
      <c r="AY154" s="126"/>
    </row>
    <row r="155" spans="1:52" ht="16.5" thickBot="1">
      <c r="A155" s="126"/>
      <c r="B155" s="61"/>
      <c r="C155" s="61"/>
      <c r="D155" s="61"/>
      <c r="E155" s="222"/>
      <c r="F155" s="223"/>
      <c r="G155" s="214"/>
      <c r="H155" s="222"/>
      <c r="I155" s="223"/>
      <c r="J155" s="214"/>
      <c r="K155" s="222"/>
      <c r="L155" s="223"/>
      <c r="M155" s="214"/>
      <c r="N155" s="222"/>
      <c r="O155" s="223"/>
      <c r="P155" s="214"/>
      <c r="Q155" s="222"/>
      <c r="R155" s="223"/>
      <c r="S155" s="214"/>
      <c r="T155" s="222"/>
      <c r="U155" s="223"/>
      <c r="V155" s="214"/>
      <c r="W155" s="222"/>
      <c r="X155" s="223"/>
      <c r="Y155" s="214"/>
      <c r="Z155" s="222"/>
      <c r="AA155" s="223"/>
      <c r="AB155" s="214"/>
      <c r="AC155" s="222"/>
      <c r="AD155" s="223"/>
      <c r="AE155" s="214"/>
      <c r="AF155" s="222"/>
      <c r="AG155" s="223"/>
      <c r="AH155" s="214"/>
      <c r="AI155" s="69"/>
      <c r="AJ155" s="69"/>
      <c r="AK155" s="194"/>
      <c r="AL155" s="195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</row>
    <row r="156" spans="1:52">
      <c r="A156" s="126"/>
      <c r="B156" s="61"/>
      <c r="C156" s="61"/>
      <c r="D156" s="61"/>
      <c r="E156" s="224" t="str">
        <f t="shared" ref="E156:F156" si="103">E219</f>
        <v>Aumento acumulado</v>
      </c>
      <c r="F156" s="699">
        <f t="shared" si="103"/>
        <v>51492.000000000007</v>
      </c>
      <c r="G156" s="214"/>
      <c r="H156" s="224" t="str">
        <f t="shared" ref="H156:I156" si="104">H219</f>
        <v>Aumento acumulado</v>
      </c>
      <c r="I156" s="699">
        <f t="shared" si="104"/>
        <v>48763.000000000007</v>
      </c>
      <c r="J156" s="214"/>
      <c r="K156" s="224" t="str">
        <f t="shared" ref="K156:L156" si="105">K219</f>
        <v>Aumento acumulado</v>
      </c>
      <c r="L156" s="699">
        <f t="shared" si="105"/>
        <v>45647.000000000007</v>
      </c>
      <c r="M156" s="214"/>
      <c r="N156" s="224" t="str">
        <f t="shared" ref="N156:O156" si="106">N219</f>
        <v>Aumento acumulado</v>
      </c>
      <c r="O156" s="699">
        <f t="shared" si="106"/>
        <v>37481.999999999993</v>
      </c>
      <c r="P156" s="214"/>
      <c r="Q156" s="224" t="str">
        <f t="shared" ref="Q156:R156" si="107">Q219</f>
        <v>Aumento acumulado</v>
      </c>
      <c r="R156" s="699">
        <f t="shared" si="107"/>
        <v>34307.000000000007</v>
      </c>
      <c r="S156" s="214"/>
      <c r="T156" s="224" t="str">
        <f t="shared" ref="T156:U156" si="108">T219</f>
        <v>Aumento acumulado</v>
      </c>
      <c r="U156" s="699">
        <f t="shared" si="108"/>
        <v>24742.000000000036</v>
      </c>
      <c r="V156" s="214"/>
      <c r="W156" s="224" t="str">
        <f t="shared" ref="W156:X156" si="109">W219</f>
        <v>Aumento acumulado</v>
      </c>
      <c r="X156" s="699">
        <f t="shared" si="109"/>
        <v>19868.999999999993</v>
      </c>
      <c r="Y156" s="214"/>
      <c r="Z156" s="224" t="str">
        <f t="shared" ref="Z156:AA156" si="110">Z219</f>
        <v>Aumento acumulado</v>
      </c>
      <c r="AA156" s="699">
        <f t="shared" si="110"/>
        <v>14363</v>
      </c>
      <c r="AB156" s="214"/>
      <c r="AC156" s="224" t="str">
        <f t="shared" ref="AC156:AD156" si="111">AC219</f>
        <v>Aumento acumulado</v>
      </c>
      <c r="AD156" s="699">
        <f t="shared" si="111"/>
        <v>10698.000000000015</v>
      </c>
      <c r="AE156" s="214"/>
      <c r="AF156" s="224"/>
      <c r="AG156" s="225"/>
      <c r="AH156" s="214"/>
      <c r="AI156" s="69"/>
      <c r="AJ156" s="69"/>
      <c r="AK156" s="194"/>
      <c r="AL156" s="195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</row>
    <row r="157" spans="1:52" ht="16.5" thickBot="1">
      <c r="A157" s="126"/>
      <c r="B157" s="61"/>
      <c r="C157" s="61"/>
      <c r="D157" s="61"/>
      <c r="E157" s="226" t="str">
        <f t="shared" ref="E157:F157" si="112">E220</f>
        <v>Porcentaje acumulado</v>
      </c>
      <c r="F157" s="577">
        <f t="shared" si="112"/>
        <v>1.0208362244999112</v>
      </c>
      <c r="G157" s="214"/>
      <c r="H157" s="226" t="str">
        <f t="shared" ref="H157:I157" si="113">H220</f>
        <v>Porcentaje acumulado</v>
      </c>
      <c r="I157" s="577">
        <f t="shared" si="113"/>
        <v>0.96673341131222645</v>
      </c>
      <c r="J157" s="214"/>
      <c r="K157" s="226" t="str">
        <f t="shared" ref="K157:L157" si="114">K220</f>
        <v>Porcentaje acumulado</v>
      </c>
      <c r="L157" s="577">
        <f t="shared" si="114"/>
        <v>0.90495826807557367</v>
      </c>
      <c r="M157" s="214"/>
      <c r="N157" s="226" t="str">
        <f t="shared" ref="N157:O157" si="115">N220</f>
        <v>Porcentaje acumulado</v>
      </c>
      <c r="O157" s="577">
        <f t="shared" si="115"/>
        <v>0.74308598164191819</v>
      </c>
      <c r="P157" s="214"/>
      <c r="Q157" s="226" t="str">
        <f t="shared" ref="Q157:R157" si="116">Q220</f>
        <v>Porcentaje acumulado</v>
      </c>
      <c r="R157" s="577">
        <f t="shared" si="116"/>
        <v>0.68014115501278749</v>
      </c>
      <c r="S157" s="214"/>
      <c r="T157" s="226" t="str">
        <f t="shared" ref="T157:U157" si="117">T220</f>
        <v>Porcentaje acumulado</v>
      </c>
      <c r="U157" s="577">
        <f t="shared" si="117"/>
        <v>0.490513669435579</v>
      </c>
      <c r="V157" s="214"/>
      <c r="W157" s="226" t="str">
        <f t="shared" ref="W157:X157" si="118">W220</f>
        <v>Porcentaje acumulado</v>
      </c>
      <c r="X157" s="577">
        <f t="shared" si="118"/>
        <v>0.39390575127376531</v>
      </c>
      <c r="Y157" s="214"/>
      <c r="Z157" s="226" t="str">
        <f t="shared" ref="Z157:AA157" si="119">Z220</f>
        <v>Porcentaje acumulado</v>
      </c>
      <c r="AA157" s="577">
        <f t="shared" si="119"/>
        <v>0.28474851807061718</v>
      </c>
      <c r="AB157" s="214"/>
      <c r="AC157" s="226" t="str">
        <f t="shared" ref="AC157:AD157" si="120">AC220</f>
        <v>Porcentaje acumulado</v>
      </c>
      <c r="AD157" s="577">
        <f t="shared" si="120"/>
        <v>0.21208937174124257</v>
      </c>
      <c r="AE157" s="214"/>
      <c r="AF157" s="226"/>
      <c r="AG157" s="227"/>
      <c r="AH157" s="214"/>
      <c r="AI157" s="69"/>
      <c r="AJ157" s="69"/>
      <c r="AK157" s="194"/>
      <c r="AL157" s="195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</row>
    <row r="158" spans="1:52" ht="16.5" thickBot="1">
      <c r="A158" s="126"/>
      <c r="B158" s="61"/>
      <c r="C158" s="61"/>
      <c r="D158" s="61"/>
      <c r="E158" s="222"/>
      <c r="F158" s="223"/>
      <c r="G158" s="214"/>
      <c r="H158" s="222"/>
      <c r="I158" s="223"/>
      <c r="J158" s="214"/>
      <c r="K158" s="222"/>
      <c r="L158" s="223"/>
      <c r="M158" s="214"/>
      <c r="N158" s="222"/>
      <c r="O158" s="223"/>
      <c r="P158" s="214"/>
      <c r="Q158" s="222"/>
      <c r="R158" s="223"/>
      <c r="S158" s="214"/>
      <c r="T158" s="222"/>
      <c r="U158" s="223"/>
      <c r="V158" s="214"/>
      <c r="W158" s="222"/>
      <c r="X158" s="223"/>
      <c r="Y158" s="214"/>
      <c r="Z158" s="222"/>
      <c r="AA158" s="223"/>
      <c r="AB158" s="214"/>
      <c r="AC158" s="222"/>
      <c r="AD158" s="223"/>
      <c r="AE158" s="214"/>
      <c r="AF158" s="222"/>
      <c r="AG158" s="223"/>
      <c r="AH158" s="214"/>
      <c r="AI158" s="69"/>
      <c r="AJ158" s="69"/>
      <c r="AK158" s="194"/>
      <c r="AL158" s="195"/>
      <c r="AM158" s="126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26"/>
      <c r="AY158" s="126"/>
      <c r="AZ158" s="126"/>
    </row>
    <row r="159" spans="1:52">
      <c r="A159" s="126"/>
      <c r="B159" s="61"/>
      <c r="C159" s="61"/>
      <c r="D159" s="61"/>
      <c r="E159" s="228" t="s">
        <v>530</v>
      </c>
      <c r="F159" s="747">
        <f t="shared" ref="F159:F160" si="121">F222</f>
        <v>44472.000000000007</v>
      </c>
      <c r="G159" s="214"/>
      <c r="H159" s="228" t="s">
        <v>530</v>
      </c>
      <c r="I159" s="747">
        <f t="shared" ref="I159:I160" si="122">I222</f>
        <v>42843.000000000007</v>
      </c>
      <c r="J159" s="214"/>
      <c r="K159" s="228" t="s">
        <v>530</v>
      </c>
      <c r="L159" s="747">
        <f t="shared" ref="L159" si="123">L222</f>
        <v>42843.000000000007</v>
      </c>
      <c r="M159" s="214"/>
      <c r="N159" s="228" t="s">
        <v>530</v>
      </c>
      <c r="O159" s="747">
        <f t="shared" ref="O159" si="124">O222</f>
        <v>34677.999999999993</v>
      </c>
      <c r="P159" s="214"/>
      <c r="Q159" s="228" t="s">
        <v>530</v>
      </c>
      <c r="R159" s="747">
        <f t="shared" ref="R159" si="125">R222</f>
        <v>31503.000000000007</v>
      </c>
      <c r="S159" s="214"/>
      <c r="T159" s="228" t="s">
        <v>530</v>
      </c>
      <c r="U159" s="747">
        <f t="shared" ref="U159" si="126">U222</f>
        <v>22431.000000000036</v>
      </c>
      <c r="V159" s="214"/>
      <c r="W159" s="228" t="s">
        <v>530</v>
      </c>
      <c r="X159" s="747">
        <f t="shared" ref="X159" si="127">X222</f>
        <v>17557.999999999993</v>
      </c>
      <c r="Y159" s="214"/>
      <c r="Z159" s="228" t="s">
        <v>530</v>
      </c>
      <c r="AA159" s="747">
        <f t="shared" ref="AA159" si="128">AA222</f>
        <v>13286</v>
      </c>
      <c r="AB159" s="214"/>
      <c r="AC159" s="228" t="s">
        <v>530</v>
      </c>
      <c r="AD159" s="747">
        <f t="shared" ref="AD159" si="129">AD222</f>
        <v>9621.0000000000146</v>
      </c>
      <c r="AE159" s="214"/>
      <c r="AF159" s="228"/>
      <c r="AG159" s="229"/>
      <c r="AH159" s="214"/>
      <c r="AI159" s="69"/>
      <c r="AJ159" s="69"/>
      <c r="AK159" s="194"/>
      <c r="AL159" s="195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6"/>
      <c r="AW159" s="126"/>
      <c r="AX159" s="126"/>
      <c r="AY159" s="126"/>
      <c r="AZ159" s="126"/>
    </row>
    <row r="160" spans="1:52" ht="16.5" thickBot="1">
      <c r="A160" s="126"/>
      <c r="B160" s="61"/>
      <c r="C160" s="61"/>
      <c r="D160" s="61"/>
      <c r="E160" s="230" t="s">
        <v>531</v>
      </c>
      <c r="F160" s="748">
        <f t="shared" si="121"/>
        <v>0.98040166662992467</v>
      </c>
      <c r="G160" s="214"/>
      <c r="H160" s="230" t="s">
        <v>531</v>
      </c>
      <c r="I160" s="748">
        <f t="shared" si="122"/>
        <v>0.94448975992592787</v>
      </c>
      <c r="J160" s="214"/>
      <c r="K160" s="230" t="s">
        <v>531</v>
      </c>
      <c r="L160" s="748">
        <f t="shared" ref="L160" si="130">L223</f>
        <v>0.94448975992592787</v>
      </c>
      <c r="M160" s="214"/>
      <c r="N160" s="230" t="s">
        <v>531</v>
      </c>
      <c r="O160" s="748">
        <f t="shared" ref="O160" si="131">O223</f>
        <v>0.76448931901854011</v>
      </c>
      <c r="P160" s="214"/>
      <c r="Q160" s="230" t="s">
        <v>531</v>
      </c>
      <c r="R160" s="748">
        <f t="shared" ref="R160" si="132">R223</f>
        <v>0.69449527126827038</v>
      </c>
      <c r="S160" s="749"/>
      <c r="T160" s="230" t="s">
        <v>531</v>
      </c>
      <c r="U160" s="748">
        <f t="shared" ref="U160" si="133">U223</f>
        <v>0.49449968034214503</v>
      </c>
      <c r="V160" s="214"/>
      <c r="W160" s="230" t="s">
        <v>531</v>
      </c>
      <c r="X160" s="748">
        <f t="shared" ref="X160" si="134">X223</f>
        <v>0.38707259540133587</v>
      </c>
      <c r="Y160" s="214"/>
      <c r="Z160" s="230" t="s">
        <v>531</v>
      </c>
      <c r="AA160" s="748">
        <f t="shared" ref="AA160" si="135">AA223</f>
        <v>0.29289477745199627</v>
      </c>
      <c r="AB160" s="214"/>
      <c r="AC160" s="230" t="s">
        <v>531</v>
      </c>
      <c r="AD160" s="748">
        <f t="shared" ref="AD160" si="136">AD223</f>
        <v>0.21209849871034625</v>
      </c>
      <c r="AE160" s="214"/>
      <c r="AF160" s="230"/>
      <c r="AG160" s="231"/>
      <c r="AH160" s="214"/>
      <c r="AI160" s="69"/>
      <c r="AJ160" s="69"/>
      <c r="AK160" s="194"/>
      <c r="AL160" s="195"/>
      <c r="AM160" s="126"/>
      <c r="AN160" s="126"/>
      <c r="AO160" s="126"/>
      <c r="AP160" s="126"/>
      <c r="AQ160" s="126"/>
      <c r="AR160" s="126"/>
      <c r="AS160" s="126"/>
      <c r="AT160" s="126"/>
      <c r="AU160" s="126"/>
      <c r="AV160" s="126"/>
      <c r="AW160" s="126"/>
      <c r="AX160" s="126"/>
      <c r="AY160" s="126"/>
      <c r="AZ160" s="126"/>
    </row>
    <row r="161" spans="1:52" ht="16.5" thickBot="1">
      <c r="A161" s="126"/>
      <c r="B161" s="61"/>
      <c r="C161" s="61"/>
      <c r="D161" s="61"/>
      <c r="E161" s="217"/>
      <c r="F161" s="217"/>
      <c r="G161" s="214"/>
      <c r="H161" s="217"/>
      <c r="I161" s="217"/>
      <c r="J161" s="214"/>
      <c r="K161" s="217"/>
      <c r="L161" s="217"/>
      <c r="M161" s="214"/>
      <c r="N161" s="217"/>
      <c r="O161" s="217"/>
      <c r="P161" s="214"/>
      <c r="Q161" s="217"/>
      <c r="R161" s="217"/>
      <c r="S161" s="214"/>
      <c r="T161" s="217"/>
      <c r="U161" s="217"/>
      <c r="V161" s="214"/>
      <c r="W161" s="217"/>
      <c r="X161" s="217"/>
      <c r="Y161" s="214"/>
      <c r="Z161" s="217"/>
      <c r="AA161" s="217"/>
      <c r="AB161" s="214"/>
      <c r="AC161" s="217"/>
      <c r="AD161" s="217"/>
      <c r="AE161" s="214"/>
      <c r="AF161" s="217"/>
      <c r="AG161" s="217"/>
      <c r="AH161" s="214"/>
      <c r="AI161" s="69"/>
      <c r="AJ161" s="69"/>
      <c r="AK161" s="194"/>
      <c r="AL161" s="195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</row>
    <row r="162" spans="1:52" ht="16.5" thickTop="1">
      <c r="A162" s="126"/>
      <c r="B162" s="126"/>
      <c r="C162" s="126"/>
      <c r="D162" s="126"/>
      <c r="E162" s="232" t="str">
        <f t="shared" ref="E162:F162" si="137">E225</f>
        <v>Medio Aguinaldo</v>
      </c>
      <c r="F162" s="233">
        <f t="shared" si="137"/>
        <v>0</v>
      </c>
      <c r="G162" s="214"/>
      <c r="H162" s="232" t="str">
        <f t="shared" ref="H162:I162" si="138">H225</f>
        <v>Medio Aguinaldo</v>
      </c>
      <c r="I162" s="233">
        <f t="shared" si="138"/>
        <v>0</v>
      </c>
      <c r="J162" s="214"/>
      <c r="K162" s="232" t="str">
        <f t="shared" ref="K162:L162" si="139">K225</f>
        <v>Medio Aguinaldo</v>
      </c>
      <c r="L162" s="233">
        <f t="shared" si="139"/>
        <v>0</v>
      </c>
      <c r="M162" s="214"/>
      <c r="N162" s="232" t="str">
        <f t="shared" ref="N162:O162" si="140">N225</f>
        <v>Medio Aguinaldo</v>
      </c>
      <c r="O162" s="233">
        <f t="shared" si="140"/>
        <v>0</v>
      </c>
      <c r="P162" s="214"/>
      <c r="Q162" s="232" t="str">
        <f t="shared" ref="Q162:R162" si="141">Q225</f>
        <v>Medio Aguinaldo</v>
      </c>
      <c r="R162" s="233">
        <f t="shared" si="141"/>
        <v>0</v>
      </c>
      <c r="S162" s="214"/>
      <c r="T162" s="232" t="str">
        <f t="shared" ref="T162:U162" si="142">T225</f>
        <v>Medio Aguinaldo</v>
      </c>
      <c r="U162" s="233">
        <f t="shared" si="142"/>
        <v>0</v>
      </c>
      <c r="V162" s="214"/>
      <c r="W162" s="232" t="str">
        <f t="shared" ref="W162:X162" si="143">W225</f>
        <v>Medio Aguinaldo</v>
      </c>
      <c r="X162" s="233">
        <f t="shared" si="143"/>
        <v>0</v>
      </c>
      <c r="Y162" s="214"/>
      <c r="Z162" s="232" t="str">
        <f t="shared" ref="Z162:AA162" si="144">Z225</f>
        <v>Medio Aguinaldo</v>
      </c>
      <c r="AA162" s="233">
        <f t="shared" si="144"/>
        <v>0</v>
      </c>
      <c r="AB162" s="214"/>
      <c r="AC162" s="232" t="str">
        <f t="shared" ref="AC162:AD162" si="145">AC225</f>
        <v>Medio Aguinaldo</v>
      </c>
      <c r="AD162" s="233">
        <f t="shared" si="145"/>
        <v>0</v>
      </c>
      <c r="AE162" s="214"/>
      <c r="AF162" s="232" t="str">
        <f t="shared" ref="AF162:AG162" si="146">AF225</f>
        <v>Medio Aguinaldo</v>
      </c>
      <c r="AG162" s="233">
        <f t="shared" si="146"/>
        <v>0</v>
      </c>
      <c r="AH162" s="214"/>
      <c r="AI162" s="69"/>
      <c r="AJ162" s="69"/>
      <c r="AK162" s="194"/>
      <c r="AL162" s="195"/>
      <c r="AM162" s="126"/>
      <c r="AN162" s="126"/>
      <c r="AO162" s="126"/>
      <c r="AP162" s="126"/>
      <c r="AQ162" s="126"/>
      <c r="AR162" s="126"/>
      <c r="AS162" s="126"/>
      <c r="AT162" s="126"/>
      <c r="AU162" s="126"/>
      <c r="AV162" s="126"/>
      <c r="AW162" s="126"/>
      <c r="AX162" s="126"/>
      <c r="AY162" s="126"/>
      <c r="AZ162" s="126"/>
    </row>
    <row r="163" spans="1:52">
      <c r="A163" s="126"/>
      <c r="B163" s="126"/>
      <c r="C163" s="126"/>
      <c r="D163" s="126"/>
      <c r="E163" s="234" t="str">
        <f t="shared" ref="E163:F163" si="147">E226</f>
        <v>código 100</v>
      </c>
      <c r="F163" s="235">
        <f t="shared" si="147"/>
        <v>55452.469135802472</v>
      </c>
      <c r="G163" s="214"/>
      <c r="H163" s="234" t="str">
        <f t="shared" ref="H163:I163" si="148">H226</f>
        <v>código 100</v>
      </c>
      <c r="I163" s="235">
        <f t="shared" si="148"/>
        <v>54446.91358024691</v>
      </c>
      <c r="J163" s="214"/>
      <c r="K163" s="234" t="str">
        <f t="shared" ref="K163:L163" si="149">K226</f>
        <v>código 100</v>
      </c>
      <c r="L163" s="235">
        <f t="shared" si="149"/>
        <v>54446.91358024691</v>
      </c>
      <c r="M163" s="214"/>
      <c r="N163" s="234" t="str">
        <f t="shared" ref="N163:O163" si="150">N226</f>
        <v>código 100</v>
      </c>
      <c r="O163" s="235">
        <f t="shared" si="150"/>
        <v>49406.790123456783</v>
      </c>
      <c r="P163" s="214"/>
      <c r="Q163" s="234" t="str">
        <f t="shared" ref="Q163:R163" si="151">Q226</f>
        <v>código 100</v>
      </c>
      <c r="R163" s="235">
        <f t="shared" si="151"/>
        <v>47446.91358024691</v>
      </c>
      <c r="S163" s="214"/>
      <c r="T163" s="234" t="str">
        <f t="shared" ref="T163:U163" si="152">T226</f>
        <v>código 100</v>
      </c>
      <c r="U163" s="235">
        <f t="shared" si="152"/>
        <v>41846.913580246925</v>
      </c>
      <c r="V163" s="214"/>
      <c r="W163" s="234" t="str">
        <f t="shared" ref="W163:X163" si="153">W226</f>
        <v>código 100</v>
      </c>
      <c r="X163" s="235">
        <f t="shared" si="153"/>
        <v>38838.888888888883</v>
      </c>
      <c r="Y163" s="214"/>
      <c r="Z163" s="234" t="str">
        <f t="shared" ref="Z163:AA163" si="154">Z226</f>
        <v>código 100</v>
      </c>
      <c r="AA163" s="235">
        <f t="shared" si="154"/>
        <v>36201.851851851847</v>
      </c>
      <c r="AB163" s="214"/>
      <c r="AC163" s="234" t="str">
        <f t="shared" ref="AC163:AD163" si="155">AC226</f>
        <v>código 100</v>
      </c>
      <c r="AD163" s="235">
        <f t="shared" si="155"/>
        <v>33939.506172839509</v>
      </c>
      <c r="AE163" s="214"/>
      <c r="AF163" s="234" t="str">
        <f t="shared" ref="AF163:AG163" si="156">AF226</f>
        <v>código 100</v>
      </c>
      <c r="AG163" s="235">
        <f t="shared" si="156"/>
        <v>28000.617283950614</v>
      </c>
      <c r="AH163" s="214"/>
      <c r="AI163" s="69"/>
      <c r="AJ163" s="69"/>
      <c r="AK163" s="194"/>
      <c r="AL163" s="195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6"/>
    </row>
    <row r="164" spans="1:52">
      <c r="A164" s="126"/>
      <c r="B164" s="126"/>
      <c r="C164" s="126"/>
      <c r="D164" s="126"/>
      <c r="E164" s="234" t="str">
        <f t="shared" ref="E164:F164" si="157">E227</f>
        <v>código 186 (No remun)</v>
      </c>
      <c r="F164" s="236">
        <f t="shared" si="157"/>
        <v>0</v>
      </c>
      <c r="G164" s="214"/>
      <c r="H164" s="234" t="str">
        <f t="shared" ref="H164:I164" si="158">H227</f>
        <v>código 186 (No remun)</v>
      </c>
      <c r="I164" s="236">
        <f t="shared" si="158"/>
        <v>0</v>
      </c>
      <c r="J164" s="214"/>
      <c r="K164" s="234" t="str">
        <f t="shared" ref="K164:L164" si="159">K227</f>
        <v>código 186 (No remun)</v>
      </c>
      <c r="L164" s="236">
        <f t="shared" si="159"/>
        <v>0</v>
      </c>
      <c r="M164" s="214"/>
      <c r="N164" s="234" t="str">
        <f t="shared" ref="N164:O164" si="160">N227</f>
        <v>código 186 (No remun)</v>
      </c>
      <c r="O164" s="236">
        <f t="shared" si="160"/>
        <v>0</v>
      </c>
      <c r="P164" s="214"/>
      <c r="Q164" s="234" t="str">
        <f t="shared" ref="Q164:R164" si="161">Q227</f>
        <v>código 186 (No remun)</v>
      </c>
      <c r="R164" s="236">
        <f t="shared" si="161"/>
        <v>0</v>
      </c>
      <c r="S164" s="214"/>
      <c r="T164" s="234" t="str">
        <f t="shared" ref="T164:U164" si="162">T227</f>
        <v>código 186 (No remun)</v>
      </c>
      <c r="U164" s="236">
        <f t="shared" si="162"/>
        <v>0</v>
      </c>
      <c r="V164" s="214"/>
      <c r="W164" s="234" t="str">
        <f t="shared" ref="W164:X164" si="163">W227</f>
        <v>código 186 (No remun)</v>
      </c>
      <c r="X164" s="236">
        <f t="shared" si="163"/>
        <v>0</v>
      </c>
      <c r="Y164" s="214"/>
      <c r="Z164" s="234" t="str">
        <f t="shared" ref="Z164:AA164" si="164">Z227</f>
        <v>código 186 (No remun)</v>
      </c>
      <c r="AA164" s="236">
        <f t="shared" si="164"/>
        <v>0</v>
      </c>
      <c r="AB164" s="214"/>
      <c r="AC164" s="234" t="str">
        <f t="shared" ref="AC164:AD164" si="165">AC227</f>
        <v>código 186 (No remun)</v>
      </c>
      <c r="AD164" s="236">
        <f t="shared" si="165"/>
        <v>0</v>
      </c>
      <c r="AE164" s="214"/>
      <c r="AF164" s="234" t="str">
        <f t="shared" ref="AF164:AG164" si="166">AF227</f>
        <v>código 186 (No remun)</v>
      </c>
      <c r="AG164" s="236">
        <f t="shared" si="166"/>
        <v>0</v>
      </c>
      <c r="AH164" s="214"/>
      <c r="AI164" s="69"/>
      <c r="AJ164" s="69"/>
      <c r="AK164" s="194"/>
      <c r="AL164" s="195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6"/>
    </row>
    <row r="165" spans="1:52">
      <c r="A165" s="126"/>
      <c r="B165" s="126"/>
      <c r="C165" s="126"/>
      <c r="D165" s="126"/>
      <c r="E165" s="234" t="str">
        <f t="shared" ref="E165:F165" si="167">E228</f>
        <v>Líquido</v>
      </c>
      <c r="F165" s="236">
        <f t="shared" si="167"/>
        <v>44583.785185185188</v>
      </c>
      <c r="G165" s="214"/>
      <c r="H165" s="234" t="str">
        <f t="shared" ref="H165:I166" si="168">H228</f>
        <v>Líquido</v>
      </c>
      <c r="I165" s="236">
        <f t="shared" si="168"/>
        <v>43775.318518518521</v>
      </c>
      <c r="J165" s="214"/>
      <c r="K165" s="234" t="str">
        <f t="shared" ref="K165:L165" si="169">K228</f>
        <v>Líquido</v>
      </c>
      <c r="L165" s="236">
        <f t="shared" si="169"/>
        <v>43775.318518518521</v>
      </c>
      <c r="M165" s="214"/>
      <c r="N165" s="234" t="str">
        <f t="shared" ref="N165:O165" si="170">N228</f>
        <v>Líquido</v>
      </c>
      <c r="O165" s="236">
        <f t="shared" si="170"/>
        <v>39723.059259259258</v>
      </c>
      <c r="P165" s="214"/>
      <c r="Q165" s="234" t="str">
        <f t="shared" ref="Q165:R166" si="171">Q228</f>
        <v>Líquido</v>
      </c>
      <c r="R165" s="236">
        <f t="shared" si="171"/>
        <v>38147.318518518521</v>
      </c>
      <c r="S165" s="214"/>
      <c r="T165" s="234" t="str">
        <f t="shared" ref="T165:U166" si="172">T228</f>
        <v>Líquido</v>
      </c>
      <c r="U165" s="236">
        <f t="shared" si="172"/>
        <v>33644.918518518527</v>
      </c>
      <c r="V165" s="214"/>
      <c r="W165" s="234" t="str">
        <f t="shared" ref="W165:X166" si="173">W228</f>
        <v>Líquido</v>
      </c>
      <c r="X165" s="236">
        <f t="shared" si="173"/>
        <v>31226.466666666664</v>
      </c>
      <c r="Y165" s="214"/>
      <c r="Z165" s="234" t="str">
        <f t="shared" ref="Z165:AA165" si="174">Z228</f>
        <v>Líquido</v>
      </c>
      <c r="AA165" s="236">
        <f t="shared" si="174"/>
        <v>29106.288888888888</v>
      </c>
      <c r="AB165" s="214"/>
      <c r="AC165" s="234" t="str">
        <f t="shared" ref="AC165:AD166" si="175">AC228</f>
        <v>Líquido</v>
      </c>
      <c r="AD165" s="236">
        <f t="shared" si="175"/>
        <v>27287.362962962965</v>
      </c>
      <c r="AE165" s="214"/>
      <c r="AF165" s="234" t="str">
        <f t="shared" ref="AF165:AG165" si="176">AF228</f>
        <v>Líquido</v>
      </c>
      <c r="AG165" s="236">
        <f t="shared" si="176"/>
        <v>22512.496296296296</v>
      </c>
      <c r="AH165" s="214"/>
      <c r="AI165" s="69"/>
      <c r="AJ165" s="69"/>
      <c r="AK165" s="194"/>
      <c r="AL165" s="195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26"/>
      <c r="AY165" s="126"/>
      <c r="AZ165" s="126"/>
    </row>
    <row r="166" spans="1:52">
      <c r="A166" s="126"/>
      <c r="B166" s="126"/>
      <c r="C166" s="126"/>
      <c r="D166" s="126"/>
      <c r="E166" s="234" t="str">
        <f t="shared" ref="E166" si="177">E229</f>
        <v>Descuentos con aguinaldo</v>
      </c>
      <c r="F166" s="236"/>
      <c r="G166" s="214"/>
      <c r="H166" s="234" t="str">
        <f t="shared" si="168"/>
        <v>Descuentos con aguinaldo</v>
      </c>
      <c r="I166" s="236"/>
      <c r="J166" s="214"/>
      <c r="K166" s="234" t="str">
        <f t="shared" ref="K166" si="178">K229</f>
        <v>Descuentos con aguinaldo</v>
      </c>
      <c r="L166" s="236"/>
      <c r="M166" s="214"/>
      <c r="N166" s="234" t="str">
        <f t="shared" ref="N166" si="179">N229</f>
        <v>Descuentos con aguinaldo</v>
      </c>
      <c r="O166" s="236"/>
      <c r="P166" s="214"/>
      <c r="Q166" s="234" t="str">
        <f t="shared" si="171"/>
        <v>Descuentos con aguinaldo</v>
      </c>
      <c r="R166" s="236"/>
      <c r="S166" s="214"/>
      <c r="T166" s="234" t="str">
        <f t="shared" si="172"/>
        <v>Descuentos con aguinaldo</v>
      </c>
      <c r="U166" s="236"/>
      <c r="V166" s="214"/>
      <c r="W166" s="234" t="str">
        <f t="shared" si="173"/>
        <v>Descuentos con aguinaldo</v>
      </c>
      <c r="X166" s="236"/>
      <c r="Y166" s="214"/>
      <c r="Z166" s="234" t="str">
        <f t="shared" ref="Z166" si="180">Z229</f>
        <v>Descuentos con aguinaldo</v>
      </c>
      <c r="AA166" s="236"/>
      <c r="AB166" s="214"/>
      <c r="AC166" s="234" t="str">
        <f t="shared" si="175"/>
        <v>Descuentos con aguinaldo</v>
      </c>
      <c r="AD166" s="236"/>
      <c r="AE166" s="214"/>
      <c r="AF166" s="234" t="str">
        <f t="shared" ref="AF166" si="181">AF229</f>
        <v>Descuentos con aguinaldo</v>
      </c>
      <c r="AG166" s="236"/>
      <c r="AH166" s="214"/>
      <c r="AI166" s="69"/>
      <c r="AJ166" s="69"/>
      <c r="AK166" s="194"/>
      <c r="AL166" s="195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6"/>
    </row>
    <row r="167" spans="1:52">
      <c r="A167" s="126"/>
      <c r="B167" s="126"/>
      <c r="C167" s="126"/>
      <c r="D167" s="126"/>
      <c r="E167" s="550">
        <f t="shared" ref="E167:F167" si="182">E230</f>
        <v>502</v>
      </c>
      <c r="F167" s="236">
        <f t="shared" si="182"/>
        <v>-26220.361374217002</v>
      </c>
      <c r="G167" s="214"/>
      <c r="H167" s="550">
        <f t="shared" ref="H167:I167" si="183">H230</f>
        <v>502</v>
      </c>
      <c r="I167" s="236">
        <f t="shared" si="183"/>
        <v>-26134.518518518518</v>
      </c>
      <c r="J167" s="214"/>
      <c r="K167" s="550">
        <f t="shared" ref="K167:L167" si="184">K230</f>
        <v>502</v>
      </c>
      <c r="L167" s="236">
        <f t="shared" si="184"/>
        <v>-26134.518518518518</v>
      </c>
      <c r="M167" s="214"/>
      <c r="N167" s="550">
        <f t="shared" ref="N167:O167" si="185">N230</f>
        <v>502</v>
      </c>
      <c r="O167" s="236">
        <f t="shared" si="185"/>
        <v>-23715.259259259259</v>
      </c>
      <c r="P167" s="214"/>
      <c r="Q167" s="550">
        <f t="shared" ref="Q167:R167" si="186">Q230</f>
        <v>502</v>
      </c>
      <c r="R167" s="236">
        <f t="shared" si="186"/>
        <v>-22774.518518518518</v>
      </c>
      <c r="S167" s="214"/>
      <c r="T167" s="550">
        <f t="shared" ref="T167:U167" si="187">T230</f>
        <v>502</v>
      </c>
      <c r="U167" s="236">
        <f t="shared" si="187"/>
        <v>-20086.518518518518</v>
      </c>
      <c r="V167" s="214"/>
      <c r="W167" s="550">
        <f t="shared" ref="W167:X167" si="188">W230</f>
        <v>502</v>
      </c>
      <c r="X167" s="236">
        <f t="shared" si="188"/>
        <v>-18642.666666666664</v>
      </c>
      <c r="Y167" s="214"/>
      <c r="Z167" s="550">
        <f t="shared" ref="Z167:AA167" si="189">Z230</f>
        <v>502</v>
      </c>
      <c r="AA167" s="236">
        <f t="shared" si="189"/>
        <v>-17376.888888888887</v>
      </c>
      <c r="AB167" s="214"/>
      <c r="AC167" s="234">
        <f t="shared" ref="AC167:AD167" si="190">AC230</f>
        <v>502</v>
      </c>
      <c r="AD167" s="236">
        <f t="shared" si="190"/>
        <v>-16290.962962962962</v>
      </c>
      <c r="AE167" s="214"/>
      <c r="AF167" s="234">
        <f t="shared" ref="AF167:AG167" si="191">AF230</f>
        <v>502</v>
      </c>
      <c r="AG167" s="236">
        <f t="shared" si="191"/>
        <v>-13440.296296296297</v>
      </c>
      <c r="AH167" s="214"/>
      <c r="AI167" s="69"/>
      <c r="AJ167" s="69"/>
      <c r="AK167" s="194"/>
      <c r="AL167" s="195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6"/>
    </row>
    <row r="168" spans="1:52">
      <c r="A168" s="126"/>
      <c r="B168" s="126"/>
      <c r="C168" s="126"/>
      <c r="D168" s="126"/>
      <c r="E168" s="550">
        <f t="shared" ref="E168:F168" si="192">E231</f>
        <v>505</v>
      </c>
      <c r="F168" s="236">
        <f t="shared" si="192"/>
        <v>-4916.3177576656881</v>
      </c>
      <c r="G168" s="214"/>
      <c r="H168" s="550">
        <f t="shared" ref="H168:I168" si="193">H231</f>
        <v>505</v>
      </c>
      <c r="I168" s="236">
        <f t="shared" si="193"/>
        <v>-4900.2222222222217</v>
      </c>
      <c r="J168" s="214"/>
      <c r="K168" s="550">
        <f t="shared" ref="K168:L168" si="194">K231</f>
        <v>505</v>
      </c>
      <c r="L168" s="236">
        <f t="shared" si="194"/>
        <v>-4900.2222222222217</v>
      </c>
      <c r="M168" s="214"/>
      <c r="N168" s="550">
        <f t="shared" ref="N168:O168" si="195">N231</f>
        <v>505</v>
      </c>
      <c r="O168" s="236">
        <f t="shared" si="195"/>
        <v>-4446.6111111111104</v>
      </c>
      <c r="P168" s="214"/>
      <c r="Q168" s="550">
        <f t="shared" ref="Q168:R168" si="196">Q231</f>
        <v>505</v>
      </c>
      <c r="R168" s="236">
        <f t="shared" si="196"/>
        <v>-4270.2222222222217</v>
      </c>
      <c r="S168" s="214"/>
      <c r="T168" s="550">
        <f t="shared" ref="T168:U168" si="197">T231</f>
        <v>505</v>
      </c>
      <c r="U168" s="236">
        <f t="shared" si="197"/>
        <v>-3766.2222222222222</v>
      </c>
      <c r="V168" s="214"/>
      <c r="W168" s="550">
        <f t="shared" ref="W168:X168" si="198">W231</f>
        <v>505</v>
      </c>
      <c r="X168" s="236">
        <f t="shared" si="198"/>
        <v>-3495.4999999999995</v>
      </c>
      <c r="Y168" s="214"/>
      <c r="Z168" s="550">
        <f t="shared" ref="Z168:AA168" si="199">Z231</f>
        <v>505</v>
      </c>
      <c r="AA168" s="236">
        <f t="shared" si="199"/>
        <v>-3258.1666666666665</v>
      </c>
      <c r="AB168" s="214"/>
      <c r="AC168" s="234">
        <f t="shared" ref="AC168:AD168" si="200">AC231</f>
        <v>505</v>
      </c>
      <c r="AD168" s="236">
        <f t="shared" si="200"/>
        <v>-3054.5555555555552</v>
      </c>
      <c r="AE168" s="214"/>
      <c r="AF168" s="234">
        <f t="shared" ref="AF168:AG168" si="201">AF231</f>
        <v>505</v>
      </c>
      <c r="AG168" s="236">
        <f t="shared" si="201"/>
        <v>-2520.0555555555557</v>
      </c>
      <c r="AH168" s="214"/>
      <c r="AI168" s="69"/>
      <c r="AJ168" s="69"/>
      <c r="AK168" s="194"/>
      <c r="AL168" s="195"/>
      <c r="AM168" s="126"/>
      <c r="AN168" s="126"/>
      <c r="AO168" s="126"/>
      <c r="AP168" s="126"/>
      <c r="AQ168" s="126"/>
      <c r="AR168" s="126"/>
      <c r="AS168" s="126"/>
      <c r="AT168" s="126"/>
      <c r="AU168" s="126"/>
      <c r="AV168" s="126"/>
      <c r="AW168" s="126"/>
      <c r="AX168" s="126"/>
      <c r="AY168" s="126"/>
      <c r="AZ168" s="126"/>
    </row>
    <row r="169" spans="1:52">
      <c r="A169" s="126"/>
      <c r="B169" s="126"/>
      <c r="C169" s="126"/>
      <c r="D169" s="126"/>
      <c r="E169" s="234"/>
      <c r="F169" s="236"/>
      <c r="G169" s="214"/>
      <c r="H169" s="234"/>
      <c r="I169" s="236"/>
      <c r="J169" s="214"/>
      <c r="K169" s="234"/>
      <c r="L169" s="236"/>
      <c r="M169" s="214"/>
      <c r="N169" s="234"/>
      <c r="O169" s="236"/>
      <c r="P169" s="214"/>
      <c r="Q169" s="234"/>
      <c r="R169" s="236"/>
      <c r="S169" s="214"/>
      <c r="T169" s="234"/>
      <c r="U169" s="236"/>
      <c r="V169" s="214"/>
      <c r="W169" s="234"/>
      <c r="X169" s="236"/>
      <c r="Y169" s="214"/>
      <c r="Z169" s="234"/>
      <c r="AA169" s="236"/>
      <c r="AB169" s="214"/>
      <c r="AC169" s="234"/>
      <c r="AD169" s="236"/>
      <c r="AE169" s="214"/>
      <c r="AF169" s="234"/>
      <c r="AG169" s="236"/>
      <c r="AH169" s="214"/>
      <c r="AI169" s="69"/>
      <c r="AJ169" s="69"/>
      <c r="AK169" s="194"/>
      <c r="AL169" s="195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</row>
    <row r="170" spans="1:52">
      <c r="A170" s="126"/>
      <c r="B170" s="126"/>
      <c r="C170" s="126"/>
      <c r="D170" s="126"/>
      <c r="E170" s="234" t="str">
        <f t="shared" ref="E170" si="202">E233</f>
        <v>Sueldo líquido incluyendo aguinaldo</v>
      </c>
      <c r="F170" s="236"/>
      <c r="G170" s="214"/>
      <c r="H170" s="234" t="str">
        <f t="shared" ref="H170" si="203">H233</f>
        <v>Sueldo líquido incluyendo aguinaldo</v>
      </c>
      <c r="I170" s="236"/>
      <c r="J170" s="214"/>
      <c r="K170" s="234" t="str">
        <f t="shared" ref="K170" si="204">K233</f>
        <v>Sueldo líquido incluyendo aguinaldo</v>
      </c>
      <c r="L170" s="236"/>
      <c r="M170" s="214"/>
      <c r="N170" s="234" t="str">
        <f t="shared" ref="N170" si="205">N233</f>
        <v>Sueldo líquido incluyendo aguinaldo</v>
      </c>
      <c r="O170" s="236"/>
      <c r="P170" s="214"/>
      <c r="Q170" s="234" t="str">
        <f t="shared" ref="Q170" si="206">Q233</f>
        <v>Sueldo líquido incluyendo aguinaldo</v>
      </c>
      <c r="R170" s="236"/>
      <c r="S170" s="214"/>
      <c r="T170" s="234" t="str">
        <f t="shared" ref="T170" si="207">T233</f>
        <v>Sueldo líquido incluyendo aguinaldo</v>
      </c>
      <c r="U170" s="236"/>
      <c r="V170" s="214"/>
      <c r="W170" s="234" t="str">
        <f t="shared" ref="W170" si="208">W233</f>
        <v>Sueldo líquido incluyendo aguinaldo</v>
      </c>
      <c r="X170" s="236"/>
      <c r="Y170" s="214"/>
      <c r="Z170" s="234" t="str">
        <f t="shared" ref="Z170" si="209">Z233</f>
        <v>Sueldo líquido incluyendo aguinaldo</v>
      </c>
      <c r="AA170" s="236"/>
      <c r="AB170" s="214"/>
      <c r="AC170" s="234" t="str">
        <f t="shared" ref="AC170" si="210">AC233</f>
        <v>Sueldo líquido incluyendo aguinaldo</v>
      </c>
      <c r="AD170" s="236"/>
      <c r="AE170" s="214"/>
      <c r="AF170" s="234" t="str">
        <f t="shared" ref="AF170" si="211">AF233</f>
        <v>Sueldo líquido incluyendo aguinaldo</v>
      </c>
      <c r="AG170" s="236"/>
      <c r="AH170" s="214"/>
      <c r="AI170" s="69"/>
      <c r="AJ170" s="69"/>
      <c r="AK170" s="194"/>
      <c r="AL170" s="195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</row>
    <row r="171" spans="1:52">
      <c r="A171" s="126"/>
      <c r="B171" s="126"/>
      <c r="C171" s="126"/>
      <c r="D171" s="126"/>
      <c r="E171" s="234"/>
      <c r="F171" s="237">
        <f t="shared" ref="F171" si="212">F234</f>
        <v>147320.72827552474</v>
      </c>
      <c r="G171" s="214"/>
      <c r="H171" s="234"/>
      <c r="I171" s="237">
        <f t="shared" ref="I171" si="213">I234</f>
        <v>143306</v>
      </c>
      <c r="J171" s="214"/>
      <c r="K171" s="234"/>
      <c r="L171" s="237">
        <f t="shared" ref="L171" si="214">L234</f>
        <v>140190</v>
      </c>
      <c r="M171" s="214"/>
      <c r="N171" s="234"/>
      <c r="O171" s="237">
        <f t="shared" ref="O171" si="215">O234</f>
        <v>127942.49999999996</v>
      </c>
      <c r="P171" s="214"/>
      <c r="Q171" s="234"/>
      <c r="R171" s="237">
        <f t="shared" ref="R171" si="216">R234</f>
        <v>123180</v>
      </c>
      <c r="S171" s="214"/>
      <c r="T171" s="234"/>
      <c r="U171" s="237">
        <f t="shared" ref="U171" si="217">U234</f>
        <v>109079.00000000006</v>
      </c>
      <c r="V171" s="214"/>
      <c r="W171" s="234"/>
      <c r="X171" s="237">
        <f t="shared" ref="X171" si="218">X234</f>
        <v>101769.5</v>
      </c>
      <c r="Y171" s="214"/>
      <c r="Z171" s="234"/>
      <c r="AA171" s="237">
        <f t="shared" ref="AA171" si="219">AA234</f>
        <v>94127.499999999971</v>
      </c>
      <c r="AB171" s="214"/>
      <c r="AC171" s="234"/>
      <c r="AD171" s="237">
        <f t="shared" ref="AD171" si="220">AD234</f>
        <v>88630</v>
      </c>
      <c r="AE171" s="214"/>
      <c r="AF171" s="234"/>
      <c r="AG171" s="237">
        <f t="shared" ref="AG171" si="221">AG234</f>
        <v>73121.499999999985</v>
      </c>
      <c r="AH171" s="214"/>
      <c r="AI171" s="69"/>
      <c r="AJ171" s="69"/>
      <c r="AK171" s="194"/>
      <c r="AL171" s="195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</row>
    <row r="172" spans="1:52">
      <c r="A172" s="126"/>
      <c r="B172" s="126"/>
      <c r="C172" s="126"/>
      <c r="D172" s="126"/>
      <c r="E172" s="238" t="str">
        <f t="shared" ref="E172" si="222">E235</f>
        <v>Aguinaldo de bolsillo</v>
      </c>
      <c r="F172" s="239"/>
      <c r="G172" s="240"/>
      <c r="H172" s="238" t="str">
        <f t="shared" ref="H172" si="223">H235</f>
        <v>Aguinaldo de bolsillo</v>
      </c>
      <c r="I172" s="239"/>
      <c r="J172" s="240"/>
      <c r="K172" s="238" t="str">
        <f t="shared" ref="K172" si="224">K235</f>
        <v>Aguinaldo de bolsillo</v>
      </c>
      <c r="L172" s="239"/>
      <c r="M172" s="240"/>
      <c r="N172" s="238" t="str">
        <f t="shared" ref="N172" si="225">N235</f>
        <v>Aguinaldo de bolsillo</v>
      </c>
      <c r="O172" s="239"/>
      <c r="P172" s="240"/>
      <c r="Q172" s="238" t="str">
        <f t="shared" ref="Q172" si="226">Q235</f>
        <v>Aguinaldo de bolsillo</v>
      </c>
      <c r="R172" s="239"/>
      <c r="S172" s="240"/>
      <c r="T172" s="238" t="str">
        <f t="shared" ref="T172" si="227">T235</f>
        <v>Aguinaldo de bolsillo</v>
      </c>
      <c r="U172" s="239"/>
      <c r="V172" s="240"/>
      <c r="W172" s="238" t="str">
        <f t="shared" ref="W172" si="228">W235</f>
        <v>Aguinaldo de bolsillo</v>
      </c>
      <c r="X172" s="239"/>
      <c r="Y172" s="240"/>
      <c r="Z172" s="238" t="str">
        <f t="shared" ref="Z172" si="229">Z235</f>
        <v>Aguinaldo de bolsillo</v>
      </c>
      <c r="AA172" s="239"/>
      <c r="AB172" s="240"/>
      <c r="AC172" s="238" t="str">
        <f t="shared" ref="AC172" si="230">AC235</f>
        <v>Aguinaldo de bolsillo</v>
      </c>
      <c r="AD172" s="239"/>
      <c r="AE172" s="240"/>
      <c r="AF172" s="238" t="str">
        <f t="shared" ref="AF172" si="231">AF235</f>
        <v>Aguinaldo de bolsillo</v>
      </c>
      <c r="AG172" s="239"/>
      <c r="AH172" s="240"/>
      <c r="AI172" s="69"/>
      <c r="AJ172" s="69"/>
      <c r="AK172" s="194"/>
      <c r="AL172" s="195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</row>
    <row r="173" spans="1:52" ht="16.5" thickBot="1">
      <c r="A173" s="126"/>
      <c r="B173" s="126"/>
      <c r="C173" s="126"/>
      <c r="D173" s="126"/>
      <c r="E173" s="241"/>
      <c r="F173" s="242">
        <f t="shared" ref="F173" si="232">F236</f>
        <v>45387.728275524743</v>
      </c>
      <c r="G173" s="214"/>
      <c r="H173" s="241"/>
      <c r="I173" s="242">
        <f t="shared" ref="I173" si="233">I236</f>
        <v>44102</v>
      </c>
      <c r="J173" s="214"/>
      <c r="K173" s="241"/>
      <c r="L173" s="242">
        <f t="shared" ref="L173" si="234">L236</f>
        <v>44102</v>
      </c>
      <c r="M173" s="214"/>
      <c r="N173" s="241"/>
      <c r="O173" s="242">
        <f t="shared" ref="O173" si="235">O236</f>
        <v>40019.499999999971</v>
      </c>
      <c r="P173" s="214"/>
      <c r="Q173" s="241"/>
      <c r="R173" s="242">
        <f t="shared" ref="R173" si="236">R236</f>
        <v>38432</v>
      </c>
      <c r="S173" s="214"/>
      <c r="T173" s="241"/>
      <c r="U173" s="242">
        <f t="shared" ref="U173" si="237">U236</f>
        <v>33896.000000000029</v>
      </c>
      <c r="V173" s="214"/>
      <c r="W173" s="241"/>
      <c r="X173" s="242">
        <f t="shared" ref="X173" si="238">X236</f>
        <v>31459.500000000015</v>
      </c>
      <c r="Y173" s="214"/>
      <c r="Z173" s="241"/>
      <c r="AA173" s="242">
        <f t="shared" ref="AA173" si="239">AA236</f>
        <v>29323.499999999978</v>
      </c>
      <c r="AB173" s="214"/>
      <c r="AC173" s="241"/>
      <c r="AD173" s="242">
        <f t="shared" ref="AD173" si="240">AD236</f>
        <v>27490.999999999993</v>
      </c>
      <c r="AE173" s="214"/>
      <c r="AF173" s="241"/>
      <c r="AG173" s="242">
        <f t="shared" ref="AG173" si="241">AG236</f>
        <v>22680.499999999993</v>
      </c>
      <c r="AH173" s="214"/>
      <c r="AI173" s="69"/>
      <c r="AJ173" s="69"/>
      <c r="AK173" s="194"/>
      <c r="AL173" s="195"/>
      <c r="AM173" s="126"/>
      <c r="AN173" s="126"/>
      <c r="AO173" s="126"/>
      <c r="AP173" s="126"/>
      <c r="AQ173" s="126"/>
      <c r="AR173" s="126"/>
      <c r="AS173" s="126"/>
      <c r="AT173" s="126"/>
      <c r="AU173" s="126"/>
      <c r="AV173" s="126"/>
      <c r="AW173" s="126"/>
      <c r="AX173" s="126"/>
      <c r="AY173" s="126"/>
      <c r="AZ173" s="126"/>
    </row>
    <row r="174" spans="1:52" ht="18" customHeight="1" thickTop="1">
      <c r="A174" s="126"/>
      <c r="B174" s="61"/>
      <c r="C174" s="61"/>
      <c r="D174" s="61"/>
      <c r="E174" s="61"/>
      <c r="F174" s="61"/>
      <c r="G174" s="214"/>
      <c r="H174" s="61"/>
      <c r="I174" s="61"/>
      <c r="J174" s="214"/>
      <c r="K174" s="61"/>
      <c r="L174" s="61"/>
      <c r="M174" s="214"/>
      <c r="N174" s="61"/>
      <c r="O174" s="61"/>
      <c r="P174" s="214"/>
      <c r="Q174" s="61"/>
      <c r="R174" s="61"/>
      <c r="S174" s="214"/>
      <c r="T174" s="61"/>
      <c r="U174" s="61"/>
      <c r="V174" s="214"/>
      <c r="W174" s="61"/>
      <c r="X174" s="61"/>
      <c r="Y174" s="214"/>
      <c r="Z174" s="61"/>
      <c r="AA174" s="61"/>
      <c r="AB174" s="214"/>
      <c r="AC174" s="61"/>
      <c r="AD174" s="61"/>
      <c r="AE174" s="214"/>
      <c r="AF174" s="61"/>
      <c r="AG174" s="61"/>
      <c r="AH174" s="214"/>
      <c r="AI174" s="69"/>
      <c r="AJ174" s="69"/>
      <c r="AK174" s="194"/>
      <c r="AL174" s="195"/>
      <c r="AM174" s="126"/>
      <c r="AN174" s="126"/>
      <c r="AO174" s="126"/>
      <c r="AP174" s="126"/>
      <c r="AQ174" s="126"/>
      <c r="AR174" s="126"/>
      <c r="AS174" s="126"/>
      <c r="AT174" s="126"/>
      <c r="AU174" s="126"/>
      <c r="AV174" s="126"/>
      <c r="AW174" s="126"/>
      <c r="AX174" s="126"/>
      <c r="AY174" s="126"/>
      <c r="AZ174" s="126"/>
    </row>
    <row r="175" spans="1:52" hidden="1">
      <c r="A175" s="126"/>
      <c r="B175" s="126"/>
      <c r="C175" s="126"/>
      <c r="D175" s="126"/>
      <c r="E175" s="126"/>
      <c r="F175" s="126"/>
      <c r="G175" s="193"/>
      <c r="H175" s="126"/>
      <c r="I175" s="126"/>
      <c r="J175" s="193"/>
      <c r="K175" s="126"/>
      <c r="L175" s="126"/>
      <c r="M175" s="193"/>
      <c r="N175" s="126"/>
      <c r="O175" s="126"/>
      <c r="P175" s="193"/>
      <c r="Q175" s="126"/>
      <c r="R175" s="126"/>
      <c r="S175" s="193"/>
      <c r="T175" s="126"/>
      <c r="U175" s="126"/>
      <c r="V175" s="193"/>
      <c r="W175" s="126"/>
      <c r="X175" s="126"/>
      <c r="Y175" s="193"/>
      <c r="Z175" s="126"/>
      <c r="AA175" s="126"/>
      <c r="AB175" s="193"/>
      <c r="AC175" s="126"/>
      <c r="AD175" s="126"/>
      <c r="AE175" s="193"/>
      <c r="AF175" s="126"/>
      <c r="AG175" s="126"/>
      <c r="AH175" s="193"/>
      <c r="AI175" s="69"/>
      <c r="AJ175" s="69"/>
      <c r="AK175" s="194"/>
      <c r="AL175" s="195"/>
      <c r="AM175" s="126"/>
      <c r="AN175" s="126"/>
      <c r="AO175" s="126"/>
      <c r="AP175" s="126"/>
      <c r="AQ175" s="126"/>
      <c r="AR175" s="126"/>
      <c r="AS175" s="126"/>
      <c r="AT175" s="126"/>
      <c r="AU175" s="126"/>
      <c r="AV175" s="126"/>
      <c r="AW175" s="126"/>
      <c r="AX175" s="126"/>
      <c r="AY175" s="126"/>
      <c r="AZ175" s="126"/>
    </row>
    <row r="176" spans="1:52" hidden="1">
      <c r="A176" s="126"/>
      <c r="B176" s="126"/>
      <c r="C176" s="126"/>
      <c r="D176" s="126"/>
      <c r="E176" s="126"/>
      <c r="F176" s="126"/>
      <c r="G176" s="193"/>
      <c r="H176" s="126"/>
      <c r="I176" s="126"/>
      <c r="J176" s="193"/>
      <c r="K176" s="126"/>
      <c r="L176" s="126"/>
      <c r="M176" s="193"/>
      <c r="N176" s="126"/>
      <c r="O176" s="126"/>
      <c r="P176" s="193"/>
      <c r="Q176" s="126"/>
      <c r="R176" s="126"/>
      <c r="S176" s="193"/>
      <c r="T176" s="126"/>
      <c r="U176" s="126"/>
      <c r="V176" s="193"/>
      <c r="W176" s="126"/>
      <c r="X176" s="126"/>
      <c r="Y176" s="193"/>
      <c r="Z176" s="126"/>
      <c r="AA176" s="126"/>
      <c r="AB176" s="193"/>
      <c r="AC176" s="126"/>
      <c r="AD176" s="126"/>
      <c r="AE176" s="193"/>
      <c r="AF176" s="126"/>
      <c r="AG176" s="126"/>
      <c r="AH176" s="193"/>
      <c r="AI176" s="69"/>
      <c r="AJ176" s="69"/>
      <c r="AK176" s="194"/>
      <c r="AL176" s="195"/>
      <c r="AM176" s="126"/>
      <c r="AN176" s="126"/>
      <c r="AO176" s="126"/>
      <c r="AP176" s="126"/>
      <c r="AQ176" s="126"/>
      <c r="AR176" s="126"/>
      <c r="AS176" s="126"/>
      <c r="AT176" s="126"/>
      <c r="AU176" s="126"/>
      <c r="AV176" s="126"/>
      <c r="AW176" s="126"/>
      <c r="AX176" s="126"/>
      <c r="AY176" s="126"/>
      <c r="AZ176" s="126"/>
    </row>
    <row r="177" spans="1:52" hidden="1">
      <c r="A177" s="126"/>
      <c r="B177" s="126"/>
      <c r="C177" s="126"/>
      <c r="D177" s="126"/>
      <c r="E177" s="126"/>
      <c r="F177" s="126"/>
      <c r="G177" s="193"/>
      <c r="H177" s="126"/>
      <c r="I177" s="126"/>
      <c r="J177" s="193"/>
      <c r="K177" s="126"/>
      <c r="L177" s="126"/>
      <c r="M177" s="193"/>
      <c r="N177" s="126"/>
      <c r="O177" s="126"/>
      <c r="P177" s="193"/>
      <c r="Q177" s="126"/>
      <c r="R177" s="126"/>
      <c r="S177" s="193"/>
      <c r="T177" s="126"/>
      <c r="U177" s="126"/>
      <c r="V177" s="193"/>
      <c r="W177" s="126"/>
      <c r="X177" s="126"/>
      <c r="Y177" s="193"/>
      <c r="Z177" s="126"/>
      <c r="AA177" s="126"/>
      <c r="AB177" s="193"/>
      <c r="AC177" s="126"/>
      <c r="AD177" s="126"/>
      <c r="AE177" s="193"/>
      <c r="AF177" s="686">
        <f>AD194/AC194</f>
        <v>0</v>
      </c>
      <c r="AG177" s="126"/>
      <c r="AH177" s="193"/>
      <c r="AI177" s="69"/>
      <c r="AJ177" s="69"/>
      <c r="AK177" s="194"/>
      <c r="AL177" s="195"/>
      <c r="AM177" s="126"/>
      <c r="AN177" s="126"/>
      <c r="AO177" s="126"/>
      <c r="AP177" s="126"/>
      <c r="AQ177" s="126"/>
      <c r="AR177" s="126"/>
      <c r="AS177" s="126"/>
      <c r="AT177" s="126"/>
      <c r="AU177" s="126"/>
      <c r="AV177" s="126"/>
      <c r="AW177" s="126"/>
      <c r="AX177" s="126"/>
      <c r="AY177" s="126"/>
      <c r="AZ177" s="126"/>
    </row>
    <row r="178" spans="1:52" hidden="1">
      <c r="A178" s="126"/>
      <c r="B178" s="126"/>
      <c r="C178" s="126"/>
      <c r="D178" s="126"/>
      <c r="E178" s="126"/>
      <c r="F178" s="126"/>
      <c r="G178" s="193"/>
      <c r="H178" s="126"/>
      <c r="I178" s="126"/>
      <c r="J178" s="193"/>
      <c r="K178" s="126"/>
      <c r="L178" s="126"/>
      <c r="M178" s="193"/>
      <c r="N178" s="126"/>
      <c r="O178" s="126"/>
      <c r="P178" s="193"/>
      <c r="Q178" s="126"/>
      <c r="R178" s="126"/>
      <c r="S178" s="193"/>
      <c r="T178" s="126"/>
      <c r="U178" s="126"/>
      <c r="V178" s="193"/>
      <c r="W178" s="126"/>
      <c r="X178" s="126"/>
      <c r="Y178" s="193"/>
      <c r="Z178" s="126"/>
      <c r="AA178" s="126"/>
      <c r="AB178" s="193"/>
      <c r="AC178" s="126"/>
      <c r="AD178" s="126"/>
      <c r="AE178" s="193"/>
      <c r="AF178" s="126"/>
      <c r="AG178" s="126"/>
      <c r="AH178" s="193"/>
      <c r="AI178" s="69"/>
      <c r="AJ178" s="69"/>
      <c r="AK178" s="194"/>
      <c r="AL178" s="195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</row>
    <row r="179" spans="1:52" ht="18.75" hidden="1" thickBot="1">
      <c r="A179" s="126"/>
      <c r="B179" s="126"/>
      <c r="C179" s="126"/>
      <c r="D179" s="126"/>
      <c r="E179" s="40">
        <v>44927</v>
      </c>
      <c r="F179" s="823" t="s">
        <v>535</v>
      </c>
      <c r="G179" s="708"/>
      <c r="H179" s="40">
        <v>44896</v>
      </c>
      <c r="I179" s="187" t="s">
        <v>533</v>
      </c>
      <c r="J179" s="708"/>
      <c r="K179" s="40">
        <v>44866</v>
      </c>
      <c r="L179" s="187" t="s">
        <v>519</v>
      </c>
      <c r="M179" s="731"/>
      <c r="N179" s="731"/>
      <c r="O179" s="731"/>
      <c r="P179" s="731"/>
      <c r="W179" s="40">
        <v>44743</v>
      </c>
      <c r="X179" s="187" t="s">
        <v>495</v>
      </c>
      <c r="Y179" s="193"/>
      <c r="Z179" s="40">
        <v>44682</v>
      </c>
      <c r="AA179" s="187" t="s">
        <v>494</v>
      </c>
      <c r="AB179" s="193"/>
      <c r="AC179" s="187" t="s">
        <v>492</v>
      </c>
      <c r="AD179" s="187" t="s">
        <v>493</v>
      </c>
      <c r="AE179" s="193"/>
      <c r="AF179" s="187">
        <v>44562</v>
      </c>
      <c r="AG179" s="187">
        <v>8.8999999999999996E-2</v>
      </c>
      <c r="AH179" s="193"/>
      <c r="AI179" s="69"/>
      <c r="AJ179" s="69"/>
      <c r="AK179" s="194"/>
      <c r="AL179" s="195"/>
      <c r="AM179" s="126"/>
      <c r="AN179" s="126"/>
      <c r="AO179" s="126"/>
      <c r="AP179" s="126"/>
      <c r="AQ179" s="126"/>
      <c r="AR179" s="126"/>
      <c r="AS179" s="126"/>
      <c r="AT179" s="126"/>
      <c r="AU179" s="126"/>
      <c r="AV179" s="126"/>
      <c r="AW179" s="126"/>
      <c r="AX179" s="126"/>
      <c r="AY179" s="126"/>
      <c r="AZ179" s="126"/>
    </row>
    <row r="180" spans="1:52" ht="13.5" hidden="1" thickBot="1">
      <c r="A180" s="61"/>
      <c r="B180" s="243" t="s">
        <v>65</v>
      </c>
      <c r="C180" s="243" t="s">
        <v>66</v>
      </c>
      <c r="D180" s="243" t="s">
        <v>67</v>
      </c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4"/>
      <c r="Q180" s="243"/>
      <c r="R180" s="243"/>
      <c r="S180" s="244"/>
      <c r="T180" s="243"/>
      <c r="U180" s="243"/>
      <c r="V180" s="244"/>
      <c r="W180" s="243"/>
      <c r="X180" s="243"/>
      <c r="Y180" s="244"/>
      <c r="Z180" s="243"/>
      <c r="AA180" s="243"/>
      <c r="AB180" s="244"/>
      <c r="AC180" s="243"/>
      <c r="AD180" s="243"/>
      <c r="AE180" s="244"/>
      <c r="AF180" s="243"/>
      <c r="AG180" s="243"/>
      <c r="AH180" s="244"/>
      <c r="AI180" s="70"/>
      <c r="AJ180" s="61"/>
      <c r="AK180" s="70"/>
      <c r="AL180" s="70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</row>
    <row r="181" spans="1:52" ht="13.5" hidden="1" thickBot="1">
      <c r="A181" s="61"/>
      <c r="B181" s="672">
        <v>1</v>
      </c>
      <c r="C181" s="246"/>
      <c r="D181" s="247" t="s">
        <v>70</v>
      </c>
      <c r="E181" s="248">
        <f>punbascar*indiceene23</f>
        <v>37417.290799999995</v>
      </c>
      <c r="F181" s="249"/>
      <c r="G181" s="250"/>
      <c r="H181" s="248">
        <f>punbascar*indicenov22</f>
        <v>36415.413</v>
      </c>
      <c r="I181" s="249"/>
      <c r="J181" s="250"/>
      <c r="K181" s="248">
        <f>punbascar*indicenov22</f>
        <v>36415.413</v>
      </c>
      <c r="L181" s="249"/>
      <c r="M181" s="250"/>
      <c r="N181" s="248">
        <f>punbascar*indiceoct22</f>
        <v>33044.489399999999</v>
      </c>
      <c r="O181" s="249"/>
      <c r="P181" s="250"/>
      <c r="Q181" s="248">
        <f>punbascar*indicesep22</f>
        <v>31733.542300000001</v>
      </c>
      <c r="R181" s="249"/>
      <c r="S181" s="250"/>
      <c r="T181" s="248">
        <f>punbascar*indiceene22*Aumento5</f>
        <v>27988.077928649996</v>
      </c>
      <c r="U181" s="249"/>
      <c r="V181" s="250"/>
      <c r="W181" s="248">
        <f>punbascar*indiceene22*Aumento3</f>
        <v>26085.37554153</v>
      </c>
      <c r="X181" s="249"/>
      <c r="Y181" s="250"/>
      <c r="Z181" s="248">
        <f>punbascar*indiceene22*Aumento2</f>
        <v>24212.636971529999</v>
      </c>
      <c r="AA181" s="249"/>
      <c r="AB181" s="250"/>
      <c r="AC181" s="248">
        <f>punbascar*indiceene22*Aumento1</f>
        <v>22699.464206969998</v>
      </c>
      <c r="AD181" s="249"/>
      <c r="AE181" s="250"/>
      <c r="AF181" s="248">
        <f>punbascar*indiceene22</f>
        <v>18727.385699999999</v>
      </c>
      <c r="AG181" s="249"/>
      <c r="AH181" s="250"/>
      <c r="AI181" s="251"/>
      <c r="AJ181" s="61"/>
      <c r="AK181" s="251"/>
      <c r="AL181" s="25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</row>
    <row r="182" spans="1:52" ht="13.5" hidden="1" thickBot="1">
      <c r="A182" s="61"/>
      <c r="B182" s="673">
        <v>2</v>
      </c>
      <c r="C182" s="253"/>
      <c r="D182" s="254" t="s">
        <v>71</v>
      </c>
      <c r="E182" s="255">
        <f>compbas2016*indiceene23</f>
        <v>15980.381559999998</v>
      </c>
      <c r="F182" s="249"/>
      <c r="G182" s="256"/>
      <c r="H182" s="255">
        <f>compbas2016*indicenov22</f>
        <v>15552.4941</v>
      </c>
      <c r="I182" s="249"/>
      <c r="J182" s="256"/>
      <c r="K182" s="255">
        <f>compbas2016*indicenov22</f>
        <v>15552.4941</v>
      </c>
      <c r="L182" s="249"/>
      <c r="M182" s="256"/>
      <c r="N182" s="255">
        <f>compbas2016*indiceoct22</f>
        <v>14112.821579999998</v>
      </c>
      <c r="O182" s="249"/>
      <c r="P182" s="256"/>
      <c r="Q182" s="255">
        <f>compbas2016*indicesep22</f>
        <v>13552.93511</v>
      </c>
      <c r="R182" s="249"/>
      <c r="S182" s="256"/>
      <c r="T182" s="255">
        <f>compbas2016*indiceene22*Aumento5</f>
        <v>11953.301665305</v>
      </c>
      <c r="U182" s="249"/>
      <c r="V182" s="256"/>
      <c r="W182" s="255">
        <f>compbas2016*indiceene22*Aumento3</f>
        <v>11140.685105121</v>
      </c>
      <c r="X182" s="249"/>
      <c r="Y182" s="256"/>
      <c r="Z182" s="255">
        <f>compbas2016*indiceene22*Aumento2</f>
        <v>10340.865656120999</v>
      </c>
      <c r="AA182" s="249"/>
      <c r="AB182" s="256"/>
      <c r="AC182" s="255">
        <f>compbas2016*indiceene22*Aumento1</f>
        <v>9694.611541328999</v>
      </c>
      <c r="AD182" s="249"/>
      <c r="AE182" s="256"/>
      <c r="AF182" s="255">
        <f>compbas2016*indiceene22</f>
        <v>7998.1944899999999</v>
      </c>
      <c r="AG182" s="249"/>
      <c r="AH182" s="256"/>
      <c r="AI182" s="251"/>
      <c r="AJ182" s="152">
        <f>27500*1.5</f>
        <v>41250</v>
      </c>
      <c r="AK182" s="251"/>
      <c r="AL182" s="251"/>
      <c r="AM182" s="257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</row>
    <row r="183" spans="1:52" s="652" customFormat="1" ht="13.5" hidden="1" thickBot="1">
      <c r="A183" s="61"/>
      <c r="B183" s="673" t="s">
        <v>529</v>
      </c>
      <c r="C183" s="253"/>
      <c r="D183" s="676" t="s">
        <v>506</v>
      </c>
      <c r="E183" s="677">
        <f>puntosexten*indiceene23</f>
        <v>0</v>
      </c>
      <c r="F183" s="678"/>
      <c r="G183" s="679"/>
      <c r="H183" s="677">
        <f>puntosexten*indicenov22</f>
        <v>0</v>
      </c>
      <c r="I183" s="678"/>
      <c r="J183" s="679"/>
      <c r="K183" s="677">
        <f>puntosexten*indicenov22</f>
        <v>0</v>
      </c>
      <c r="L183" s="678"/>
      <c r="M183" s="679"/>
      <c r="N183" s="677">
        <f>puntosexten*indiceoct22</f>
        <v>0</v>
      </c>
      <c r="O183" s="678"/>
      <c r="P183" s="679"/>
      <c r="Q183" s="677">
        <f>puntosexten*indicesep22</f>
        <v>0</v>
      </c>
      <c r="R183" s="678"/>
      <c r="S183" s="679"/>
      <c r="T183" s="677">
        <f>puntosexten*indiceene22*Aumento5</f>
        <v>0</v>
      </c>
      <c r="U183" s="678"/>
      <c r="V183" s="679"/>
      <c r="W183" s="677">
        <f>puntosexten*indiceene22*Aumento3</f>
        <v>0</v>
      </c>
      <c r="X183" s="249"/>
      <c r="Y183" s="256"/>
      <c r="Z183" s="255"/>
      <c r="AA183" s="249"/>
      <c r="AB183" s="256"/>
      <c r="AC183" s="255"/>
      <c r="AD183" s="249"/>
      <c r="AE183" s="256"/>
      <c r="AF183" s="255"/>
      <c r="AG183" s="249"/>
      <c r="AH183" s="256"/>
      <c r="AI183" s="251"/>
      <c r="AJ183" s="152"/>
      <c r="AK183" s="251"/>
      <c r="AL183" s="251"/>
      <c r="AM183" s="257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</row>
    <row r="184" spans="1:52" ht="13.5" hidden="1" thickBot="1">
      <c r="A184" s="61"/>
      <c r="B184" s="674" t="s">
        <v>72</v>
      </c>
      <c r="C184" s="258"/>
      <c r="D184" s="259" t="s">
        <v>73</v>
      </c>
      <c r="E184" s="260">
        <f>IF(nina=0,compdir22*indiceene23,compdir16*indiceene23)</f>
        <v>0</v>
      </c>
      <c r="F184" s="249"/>
      <c r="G184" s="250"/>
      <c r="H184" s="260">
        <f>IF(nina=0,compdir22*indicenov22,compdir16*indicenov22)</f>
        <v>0</v>
      </c>
      <c r="I184" s="249"/>
      <c r="J184" s="250"/>
      <c r="K184" s="260">
        <f>IF(nina=0,compdir22*indicenov22,compdir16*indicenov22)</f>
        <v>0</v>
      </c>
      <c r="L184" s="249"/>
      <c r="M184" s="250"/>
      <c r="N184" s="260">
        <f>IF(nina=0,compdir22*indiceoct22,compdir16*indiceoct22)</f>
        <v>0</v>
      </c>
      <c r="O184" s="249"/>
      <c r="P184" s="250"/>
      <c r="Q184" s="260">
        <f>IF(nina=0,compdir22*indicesep22,compdir16*indicesep22)</f>
        <v>0</v>
      </c>
      <c r="R184" s="249"/>
      <c r="S184" s="250"/>
      <c r="T184" s="260">
        <f>IF(nina=0,compdir22*indiceene22*Aumento5,compdir16*indiceene22*Aumento5)</f>
        <v>0</v>
      </c>
      <c r="U184" s="249"/>
      <c r="V184" s="250"/>
      <c r="W184" s="260">
        <f>IF(nina=0,compdir22*indiceene22*Aumento3,compdir16*indiceene22*Aumento3)</f>
        <v>0</v>
      </c>
      <c r="X184" s="249"/>
      <c r="Y184" s="250"/>
      <c r="Z184" s="260">
        <f>IF(nina=0,compdir22*indiceene22*Aumento2,compdir16*indiceene22*Aumento2)</f>
        <v>0</v>
      </c>
      <c r="AA184" s="249"/>
      <c r="AB184" s="250"/>
      <c r="AC184" s="260">
        <f>IF(nina=0,compdir22*indiceene22*Aumento1,compdir16*indiceene22*Aumento1)</f>
        <v>0</v>
      </c>
      <c r="AD184" s="249"/>
      <c r="AE184" s="250"/>
      <c r="AF184" s="260">
        <f>compdir16*indiceene22</f>
        <v>0</v>
      </c>
      <c r="AG184" s="249"/>
      <c r="AH184" s="250"/>
      <c r="AI184" s="251"/>
      <c r="AJ184" s="257">
        <f>50000/AJ182</f>
        <v>1.2121212121212122</v>
      </c>
      <c r="AK184" s="261"/>
      <c r="AL184" s="251"/>
      <c r="AM184" s="257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</row>
    <row r="185" spans="1:52" ht="13.5" hidden="1" thickBot="1">
      <c r="A185" s="61"/>
      <c r="B185" s="673">
        <v>5</v>
      </c>
      <c r="C185" s="253"/>
      <c r="D185" s="254" t="s">
        <v>74</v>
      </c>
      <c r="E185" s="255">
        <f>puntosadicnina*Indiceproljorene23</f>
        <v>0</v>
      </c>
      <c r="F185" s="249"/>
      <c r="G185" s="250"/>
      <c r="H185" s="255">
        <f>puntosadicnina*Indiceproljornov22</f>
        <v>0</v>
      </c>
      <c r="I185" s="249"/>
      <c r="J185" s="250"/>
      <c r="K185" s="255">
        <f>puntosadicnina*Indiceproljornov22</f>
        <v>0</v>
      </c>
      <c r="L185" s="249"/>
      <c r="M185" s="250"/>
      <c r="N185" s="255">
        <f>puntosadicnina*Indiceproljoroct22</f>
        <v>0</v>
      </c>
      <c r="O185" s="249"/>
      <c r="P185" s="250"/>
      <c r="Q185" s="255">
        <f>puntosadicnina*Indiceproljorsep22</f>
        <v>0</v>
      </c>
      <c r="R185" s="249"/>
      <c r="S185" s="250"/>
      <c r="T185" s="255">
        <f>puntosadicnina*indiceproljorene22*Aumento5</f>
        <v>0</v>
      </c>
      <c r="U185" s="249"/>
      <c r="V185" s="250"/>
      <c r="W185" s="255">
        <f>puntosadicnina*indiceproljorene22*Aumento3</f>
        <v>0</v>
      </c>
      <c r="X185" s="249"/>
      <c r="Y185" s="250"/>
      <c r="Z185" s="255">
        <f>puntosadicnina*indiceproljorene22*Aumento2</f>
        <v>0</v>
      </c>
      <c r="AA185" s="249"/>
      <c r="AB185" s="250"/>
      <c r="AC185" s="255">
        <f>puntosadicnina*indiceproljorene22*Aumento1</f>
        <v>0</v>
      </c>
      <c r="AD185" s="249"/>
      <c r="AE185" s="250"/>
      <c r="AF185" s="255">
        <f>puntosadicnina*indiceproljorene22</f>
        <v>0</v>
      </c>
      <c r="AG185" s="249"/>
      <c r="AH185" s="250"/>
      <c r="AI185" s="262"/>
      <c r="AJ185" s="263"/>
      <c r="AK185" s="262"/>
      <c r="AL185" s="251"/>
      <c r="AM185" s="257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</row>
    <row r="186" spans="1:52" ht="13.5" hidden="1" thickBot="1">
      <c r="A186" s="61"/>
      <c r="B186" s="675">
        <v>6</v>
      </c>
      <c r="C186" s="264"/>
      <c r="D186" s="264" t="s">
        <v>75</v>
      </c>
      <c r="E186" s="265">
        <f>LOOKUP(porantigcargo,porant,codigo06cargossep22)/1.6945*1.998</f>
        <v>30011.8583652995</v>
      </c>
      <c r="F186" s="249"/>
      <c r="G186" s="266"/>
      <c r="H186" s="265">
        <f>LOOKUP(porantigcargo,porant,codigo06cargossep22)/1.6945*1.9445</f>
        <v>29208.237533195632</v>
      </c>
      <c r="I186" s="249"/>
      <c r="J186" s="266"/>
      <c r="K186" s="265">
        <f>LOOKUP(porantigcargo,porant,codigo06cargossep22)/1.6945*1.9445</f>
        <v>29208.237533195632</v>
      </c>
      <c r="L186" s="249"/>
      <c r="M186" s="266"/>
      <c r="N186" s="265">
        <f>LOOKUP(porantigcargo,porant,codigo06cargossep22)/1.6945*1.7645</f>
        <v>26504.46650929478</v>
      </c>
      <c r="O186" s="249"/>
      <c r="P186" s="266"/>
      <c r="Q186" s="265">
        <f>LOOKUP(porantigcargo,porant,codigo06cargossep22)</f>
        <v>25453</v>
      </c>
      <c r="R186" s="249"/>
      <c r="S186" s="266"/>
      <c r="T186" s="265">
        <f>LOOKUP(porantigcargo,porant,codigo06cargosdic22)*1.509/1.42*Aumento5</f>
        <v>22448.773991197184</v>
      </c>
      <c r="U186" s="249"/>
      <c r="V186" s="266"/>
      <c r="W186" s="265">
        <f>LOOKUP(porantigcargo,porant,codigo06cargosdic22)*1.509/1.42*Aumento3</f>
        <v>20922.64790387324</v>
      </c>
      <c r="X186" s="249"/>
      <c r="Y186" s="267"/>
      <c r="Z186" s="265">
        <f>LOOKUP(porantigcargo,porant,codigo06cargosdic22)*1.509/1.42*Aumento2</f>
        <v>19420.555298239437</v>
      </c>
      <c r="AA186" s="249"/>
      <c r="AB186" s="267"/>
      <c r="AC186" s="265">
        <f>LOOKUP(porantigcargo,porant,codigo06cargosdic22)*1.509/1.42*Aumento1</f>
        <v>18206.864472887322</v>
      </c>
      <c r="AD186" s="249"/>
      <c r="AE186" s="266"/>
      <c r="AF186" s="265">
        <f>LOOKUP(porantigcargo,porant,codigo06cargosdic22)*1.509/1.42</f>
        <v>15020.926056338029</v>
      </c>
      <c r="AG186" s="249"/>
      <c r="AH186" s="267"/>
      <c r="AI186" s="268"/>
      <c r="AJ186" s="268">
        <f>7391/2830-1</f>
        <v>1.611660777385159</v>
      </c>
      <c r="AK186" s="268"/>
      <c r="AL186" s="25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</row>
    <row r="187" spans="1:52" ht="14.25" hidden="1" customHeight="1" thickBot="1">
      <c r="A187" s="61"/>
      <c r="B187" s="673">
        <v>10</v>
      </c>
      <c r="C187" s="269">
        <f>D111</f>
        <v>0</v>
      </c>
      <c r="D187" s="253" t="s">
        <v>76</v>
      </c>
      <c r="E187" s="255">
        <f>(E181+E182+E183+E184+E185+E190+E191)*porantigcargo</f>
        <v>0</v>
      </c>
      <c r="F187" s="249"/>
      <c r="G187" s="266"/>
      <c r="H187" s="255">
        <f>(H181+H182+H183+H184+H185+H190+H191)*porantigcargo</f>
        <v>0</v>
      </c>
      <c r="I187" s="249"/>
      <c r="J187" s="266"/>
      <c r="K187" s="255">
        <f>(K181+K182+K183+K184+K185+K190+K191)*porantigcargo</f>
        <v>0</v>
      </c>
      <c r="L187" s="249"/>
      <c r="M187" s="266"/>
      <c r="N187" s="255">
        <f>(N181+N182+N183+N184+N185+N190+N191)*porantigcargo</f>
        <v>0</v>
      </c>
      <c r="O187" s="249"/>
      <c r="P187" s="266"/>
      <c r="Q187" s="255">
        <f>(Q181+Q182+Q183+Q184+Q185+Q190+Q191)*porantigcargo</f>
        <v>0</v>
      </c>
      <c r="R187" s="249"/>
      <c r="S187" s="266"/>
      <c r="T187" s="255">
        <f>(T181+T182+T183+T184+T185+T190+T191)*porantigcargo</f>
        <v>0</v>
      </c>
      <c r="U187" s="249"/>
      <c r="V187" s="266"/>
      <c r="W187" s="255">
        <f>(W181+W182+W183+W184+W185+W190+W191)*porantigcargo</f>
        <v>0</v>
      </c>
      <c r="X187" s="249"/>
      <c r="Y187" s="266"/>
      <c r="Z187" s="255">
        <f>(Z181+Z182+Z184+Z185+Z190+Z191)*porantigcargo</f>
        <v>0</v>
      </c>
      <c r="AA187" s="249"/>
      <c r="AB187" s="266"/>
      <c r="AC187" s="255">
        <f>(AC181+AC182+AC184+AC185+AC190+AC191)*porantigcargo</f>
        <v>0</v>
      </c>
      <c r="AD187" s="249"/>
      <c r="AE187" s="266"/>
      <c r="AF187" s="255">
        <f>(AF181+AF182+AF184+AF185+AF190+AF191)*porantigcargo</f>
        <v>0</v>
      </c>
      <c r="AG187" s="249"/>
      <c r="AH187" s="267"/>
      <c r="AI187" s="268"/>
      <c r="AJ187" s="268"/>
      <c r="AK187" s="268"/>
      <c r="AL187" s="25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</row>
    <row r="188" spans="1:52" ht="13.5" hidden="1" thickBot="1">
      <c r="A188" s="61"/>
      <c r="B188" s="672">
        <v>14</v>
      </c>
      <c r="C188" s="246"/>
      <c r="D188" s="246" t="s">
        <v>77</v>
      </c>
      <c r="E188" s="248">
        <f>E186*0.07</f>
        <v>2100.8300855709654</v>
      </c>
      <c r="F188" s="249"/>
      <c r="G188" s="270">
        <f>IF(puntosproljor&gt;600,G196,G193)</f>
        <v>17083.924294892033</v>
      </c>
      <c r="H188" s="248">
        <f>H186*0.07</f>
        <v>2044.5766273236943</v>
      </c>
      <c r="I188" s="249"/>
      <c r="J188" s="270">
        <f>IF(puntosproljor&gt;600,J196,J193)</f>
        <v>17522.277292499541</v>
      </c>
      <c r="K188" s="248">
        <f>K186*0.07</f>
        <v>2044.5766273236943</v>
      </c>
      <c r="L188" s="249"/>
      <c r="M188" s="270">
        <f>IF(puntosproljor&gt;600,M196,M193)</f>
        <v>17522.277292499541</v>
      </c>
      <c r="N188" s="248">
        <f>N186*0.07</f>
        <v>1855.3126556506347</v>
      </c>
      <c r="O188" s="249"/>
      <c r="P188" s="270">
        <f>IF(puntosproljor&gt;600,P196,P193)</f>
        <v>15900.172928381447</v>
      </c>
      <c r="Q188" s="248">
        <f>Q186*0.07</f>
        <v>1781.7100000000003</v>
      </c>
      <c r="R188" s="249"/>
      <c r="S188" s="270">
        <f>IF(puntosproljor&gt;600,S196,S193)</f>
        <v>15269.722366162465</v>
      </c>
      <c r="T188" s="248">
        <f>T186*0.07</f>
        <v>1571.414179383803</v>
      </c>
      <c r="U188" s="249"/>
      <c r="V188" s="270">
        <f>IF(puntosproljor&gt;600,V196,V193)</f>
        <v>13467.677691994115</v>
      </c>
      <c r="W188" s="248">
        <f>W186*0.07</f>
        <v>1464.5853532711269</v>
      </c>
      <c r="X188" s="249"/>
      <c r="Y188" s="270">
        <f>IF(puntosproljor&gt;600,Y196,Y193)</f>
        <v>12247.133115640911</v>
      </c>
      <c r="Z188" s="248">
        <f>Z186*0.07</f>
        <v>1359.4388708767606</v>
      </c>
      <c r="AA188" s="249"/>
      <c r="AB188" s="270">
        <f>IF(puntosproljor&gt;600,AB196,AB193)</f>
        <v>11650.701651551284</v>
      </c>
      <c r="AC188" s="248">
        <f>AC186*0.07</f>
        <v>1274.4805131021126</v>
      </c>
      <c r="AD188" s="249"/>
      <c r="AE188" s="270">
        <f>IF(puntosproljor&gt;600,AE196,AE193)</f>
        <v>10922.766798498793</v>
      </c>
      <c r="AF188" s="248">
        <f>AF186*0.07</f>
        <v>1051.4648239436622</v>
      </c>
      <c r="AG188" s="249"/>
      <c r="AH188" s="270">
        <f>IF(puntosproljor&gt;600,AH196,AH193)</f>
        <v>9011.5051335696589</v>
      </c>
      <c r="AI188" s="268"/>
      <c r="AJ188" s="268"/>
      <c r="AK188" s="268"/>
      <c r="AL188" s="251"/>
      <c r="AM188" s="257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</row>
    <row r="189" spans="1:52" ht="13.5" hidden="1" thickBot="1">
      <c r="A189" s="61"/>
      <c r="B189" s="673">
        <v>188</v>
      </c>
      <c r="C189" s="269">
        <v>7.0000000000000007E-2</v>
      </c>
      <c r="D189" s="253" t="s">
        <v>78</v>
      </c>
      <c r="E189" s="271">
        <f>(E181+E182+E183+E184+E185+E187+E190+E191+E192+E193+E194)*0.07</f>
        <v>5154.6331658424424</v>
      </c>
      <c r="F189" s="249"/>
      <c r="G189" s="266"/>
      <c r="H189" s="271">
        <f>(H181+H182+H183+H184+H185+H187+H190+H191+H192+H193+H194)*0.07</f>
        <v>5079.3186074749674</v>
      </c>
      <c r="I189" s="249"/>
      <c r="J189" s="266"/>
      <c r="K189" s="271">
        <f>(K181+K182+K183+K184+K185+K187+K190+K191+K192+K193+K194)*0.07</f>
        <v>5079.3186074749674</v>
      </c>
      <c r="L189" s="249"/>
      <c r="M189" s="266"/>
      <c r="N189" s="271">
        <f>(N181+N182+N183+N184+N185+N187+N190+N191+N192+N193+N194)*0.07</f>
        <v>4609.1271735867012</v>
      </c>
      <c r="O189" s="249"/>
      <c r="P189" s="266"/>
      <c r="Q189" s="271">
        <f>(Q181+Q182+Q183+Q184+Q185+Q187+Q190+Q191+Q192+Q193+Q194)*0.07</f>
        <v>4426.297384331373</v>
      </c>
      <c r="R189" s="249"/>
      <c r="S189" s="266"/>
      <c r="T189" s="271">
        <f>(T181+T182+T183+T184+T185+T187+T190+T191+T192+T193+T194)*0.07</f>
        <v>3903.8829245737379</v>
      </c>
      <c r="U189" s="249"/>
      <c r="V189" s="266"/>
      <c r="W189" s="271">
        <f>(W181+W182+W184+W185+W187+W190+W191+W192+W193+W194)*0.07</f>
        <v>3617.1384265834936</v>
      </c>
      <c r="X189" s="249"/>
      <c r="Y189" s="266"/>
      <c r="Z189" s="271">
        <f>(Z181+Z182+Z184+Z185+Z187+Z190+Z191+Z192+Z193+Z194)*0.07</f>
        <v>3377.2520256272201</v>
      </c>
      <c r="AA189" s="249"/>
      <c r="AB189" s="266"/>
      <c r="AC189" s="271">
        <f>(AC181+AC182+AC184+AC185+AC187+AC190+AC191+AC192+AC193+AC194)*0.07</f>
        <v>3166.202537549786</v>
      </c>
      <c r="AD189" s="249"/>
      <c r="AE189" s="266"/>
      <c r="AF189" s="271">
        <f>(AF181+AF182+AF184+AF185+AF187+AF190+AF191+AF192+AF193+AF194)*0.07</f>
        <v>2612.1673440498762</v>
      </c>
      <c r="AG189" s="249"/>
      <c r="AH189" s="266"/>
      <c r="AI189" s="262"/>
      <c r="AJ189" s="263"/>
      <c r="AK189" s="272"/>
      <c r="AL189" s="251"/>
      <c r="AM189" s="257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</row>
    <row r="190" spans="1:52" ht="13.5" hidden="1" thickBot="1">
      <c r="A190" s="61"/>
      <c r="B190" s="672">
        <v>52</v>
      </c>
      <c r="C190" s="246"/>
      <c r="D190" s="246" t="s">
        <v>79</v>
      </c>
      <c r="E190" s="248">
        <f>puntosproljor*Indiceproljorene23</f>
        <v>0</v>
      </c>
      <c r="F190" s="249"/>
      <c r="G190" s="273">
        <v>89585</v>
      </c>
      <c r="H190" s="248">
        <f>puntosproljor*Indiceproljornov22</f>
        <v>0</v>
      </c>
      <c r="I190" s="249"/>
      <c r="J190" s="273">
        <v>87186</v>
      </c>
      <c r="K190" s="248">
        <f>puntosproljor*Indiceproljornov22</f>
        <v>0</v>
      </c>
      <c r="L190" s="249"/>
      <c r="M190" s="273">
        <v>84070</v>
      </c>
      <c r="N190" s="248">
        <f>puntosproljor*Indiceproljoroct22</f>
        <v>0</v>
      </c>
      <c r="O190" s="249"/>
      <c r="P190" s="273">
        <v>77017</v>
      </c>
      <c r="Q190" s="248">
        <f>puntosproljor*Indiceproljorsep22</f>
        <v>0</v>
      </c>
      <c r="R190" s="249"/>
      <c r="S190" s="273">
        <v>74275</v>
      </c>
      <c r="T190" s="248">
        <f>puntosproljor*indiceproljorene22*Aumento5</f>
        <v>0</v>
      </c>
      <c r="U190" s="249"/>
      <c r="V190" s="273">
        <v>65946</v>
      </c>
      <c r="W190" s="248">
        <f>puntosproljor*indiceproljorene22*Aumento3</f>
        <v>0</v>
      </c>
      <c r="X190" s="249"/>
      <c r="Y190" s="273">
        <v>61694</v>
      </c>
      <c r="Z190" s="248">
        <f>puntosproljor*indiceproljorene22*Aumento2</f>
        <v>0</v>
      </c>
      <c r="AA190" s="249"/>
      <c r="AB190" s="273">
        <v>56813</v>
      </c>
      <c r="AC190" s="248">
        <f>puntosproljor*indiceproljorene22*Aumento1</f>
        <v>0</v>
      </c>
      <c r="AD190" s="249"/>
      <c r="AE190" s="273">
        <v>53647</v>
      </c>
      <c r="AF190" s="248">
        <f>puntosproljor*indiceproljorene22</f>
        <v>0</v>
      </c>
      <c r="AG190" s="249"/>
      <c r="AH190" s="273">
        <v>44260</v>
      </c>
      <c r="AI190" s="262"/>
      <c r="AJ190" s="274"/>
      <c r="AK190" s="262"/>
      <c r="AL190" s="251"/>
      <c r="AM190" s="275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</row>
    <row r="191" spans="1:52" ht="15" hidden="1" thickBot="1">
      <c r="A191" s="61"/>
      <c r="B191" s="673">
        <v>16</v>
      </c>
      <c r="C191" s="253"/>
      <c r="D191" s="253" t="s">
        <v>80</v>
      </c>
      <c r="E191" s="255">
        <f>puntostardif*indiceene23</f>
        <v>0</v>
      </c>
      <c r="F191" s="249"/>
      <c r="G191" s="276">
        <f>IF((totalremocatavoaumFonidene23-E192*1.07)*0.81&lt;G190-E198-E200,(G190-E198-E200-H201-(totalremocatavoaumFonidene23-E192*1.07)*0.81)/0.81,0)/1.07</f>
        <v>3413.6808427171177</v>
      </c>
      <c r="H191" s="255">
        <f>puntostardif*indicenov22</f>
        <v>0</v>
      </c>
      <c r="I191" s="249"/>
      <c r="J191" s="276">
        <f>IF((totalremocatavoaumFoniddic22-H192*1.07)*0.81&lt;J190-H198-H200-H201,(J190-H198-H200-H201-(totalremocatavoaumFoniddic22-H192*1.07)*0.81)/0.81,0)/1.07</f>
        <v>3655.8875382593196</v>
      </c>
      <c r="K191" s="255">
        <f>puntostardif*indicenov22</f>
        <v>0</v>
      </c>
      <c r="L191" s="249"/>
      <c r="M191" s="276">
        <f>IF((totalremoctavoaum22-K192*1.07)*0.81&lt;M190-K198-K200,(M190-K198-K200-(totalremoctavoaum22-K192*1.07)*0.81)/0.81,0)/1.07</f>
        <v>3655.8875382593196</v>
      </c>
      <c r="N191" s="255">
        <f>puntostardif*indiceoct22</f>
        <v>0</v>
      </c>
      <c r="O191" s="249"/>
      <c r="P191" s="276">
        <f>IF((totalremseptimoaum22-N192*1.07)*0.81&lt;P190-N198-N200,(P190-N198-N200-(totalremseptimoaum22-N192*1.07)*0.81)/0.81,0)/1.07</f>
        <v>3316.8107500036963</v>
      </c>
      <c r="Q191" s="255">
        <f>puntostardif*indicesep22</f>
        <v>0</v>
      </c>
      <c r="R191" s="249"/>
      <c r="S191" s="276">
        <f>IF((totalremsextoaum22-Q192*1.07)*0.81&lt;S190-Q198-Q200,(S190-Q198-Q200-(totalremsextoaum22-Q192*1.07)*0.81)/0.81,0)/1.07</f>
        <v>3185.9563571628123</v>
      </c>
      <c r="T191" s="255">
        <f>puntostardif*indiceene22*Aumento5</f>
        <v>0</v>
      </c>
      <c r="U191" s="249"/>
      <c r="V191" s="276">
        <f>IF((totalremquintoaum22-T192*1.07)*0.81&lt;V190-T198-T200,(V190-T198-T200-(totalremquintoaum22-T192*1.07)*0.81)/0.81,0)/1.07</f>
        <v>2810.0106791869166</v>
      </c>
      <c r="W191" s="255">
        <f>puntostardif*indiceene22*Aumento3</f>
        <v>0</v>
      </c>
      <c r="X191" s="249"/>
      <c r="Y191" s="276">
        <f>IF((totalremterceraum22-W192*1.07)*0.81&lt;Y190-W198-W200,(Y190-W198-W200-(totalremterceraum22-W192*1.07)*0.81)/0.81,0)/1.07</f>
        <v>2305.9770062605035</v>
      </c>
      <c r="Z191" s="255">
        <f>puntostardif*indiceene22*Aumento2</f>
        <v>0</v>
      </c>
      <c r="AA191" s="249"/>
      <c r="AB191" s="276">
        <f>IF((totalremsegundoaum22-Z192*1.07)*0.81&lt;AB190-Z198-Z200,(AB190-Z198-Z200-(totalremsegundoaum22-Z192*1.07)*0.81)/0.81,0)/1.07</f>
        <v>2430.6716527050867</v>
      </c>
      <c r="AC191" s="255">
        <f>puntostardif*indiceene22*Aumento1</f>
        <v>0</v>
      </c>
      <c r="AD191" s="249"/>
      <c r="AE191" s="276">
        <f>IF((totalremprimeraum22-AC192*1.07)*0.81&lt;AE190-AC198-AC200,(AE190-AC198-AC200-(totalremprimeraum22-AC192*1.07)*0.81)/0.81,0)/1.07</f>
        <v>2278.4838863031086</v>
      </c>
      <c r="AF191" s="255">
        <f>puntostardif*indiceene22</f>
        <v>0</v>
      </c>
      <c r="AG191" s="249"/>
      <c r="AH191" s="276">
        <f>IF((totalremene22-AF192*1.07)*0.81&lt;AH190-AF198-AF200,(AH190-AF198-AF200-(totalremene22-AF192*1.07)*0.81)/0.81,0)/1.07</f>
        <v>1879.8563508305353</v>
      </c>
      <c r="AI191" s="262"/>
      <c r="AJ191" s="263"/>
      <c r="AK191" s="262"/>
      <c r="AL191" s="251"/>
      <c r="AM191" s="257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</row>
    <row r="192" spans="1:52" ht="16.5" hidden="1" thickBot="1">
      <c r="A192" s="61"/>
      <c r="B192" s="672">
        <v>78</v>
      </c>
      <c r="C192" s="593">
        <f>C130</f>
        <v>0</v>
      </c>
      <c r="D192" s="246" t="s">
        <v>81</v>
      </c>
      <c r="E192" s="277">
        <f>(E181+E182+E183+E184+E185+E190+E191)*porzonacargo</f>
        <v>0</v>
      </c>
      <c r="F192" s="745"/>
      <c r="G192" s="273">
        <v>101933</v>
      </c>
      <c r="H192" s="277">
        <f>(H181+H182+H183+H184+H185+H190+H191)*porzonacargo</f>
        <v>0</v>
      </c>
      <c r="I192" s="745"/>
      <c r="J192" s="273">
        <v>99204</v>
      </c>
      <c r="K192" s="277">
        <f>(K181+K182+K183+K184+K185+K190+K191)*porzonacargo</f>
        <v>0</v>
      </c>
      <c r="L192" s="745"/>
      <c r="M192" s="273">
        <v>96088</v>
      </c>
      <c r="N192" s="277">
        <f>(N181+N182+N183+N184+N185+N190+N191)*porzonacargo</f>
        <v>0</v>
      </c>
      <c r="O192" s="249"/>
      <c r="P192" s="273">
        <v>87923</v>
      </c>
      <c r="Q192" s="277">
        <f>(Q181+Q182+Q183+Q184+Q185+Q190+Q191)*porzonacargo</f>
        <v>0</v>
      </c>
      <c r="R192" s="249"/>
      <c r="S192" s="273">
        <v>84748</v>
      </c>
      <c r="T192" s="277">
        <f>(T181+T182+T183+T184+T185+T190+T191)*porzonacargo</f>
        <v>0</v>
      </c>
      <c r="U192" s="249"/>
      <c r="V192" s="273">
        <v>75183</v>
      </c>
      <c r="W192" s="277">
        <f>(W181+W182+W183+W184+W185+W190+W191)*porzonacargo</f>
        <v>0</v>
      </c>
      <c r="X192" s="249"/>
      <c r="Y192" s="273">
        <v>70310</v>
      </c>
      <c r="Z192" s="277">
        <f>(Z181+Z182+Z184+Z185+Z190+Z191)*porzonacargo</f>
        <v>0</v>
      </c>
      <c r="AA192" s="249"/>
      <c r="AB192" s="273">
        <v>64804</v>
      </c>
      <c r="AC192" s="277">
        <f>(AC181+AC182+AC184+AC185+AC190+AC191)*porzonacargo</f>
        <v>0</v>
      </c>
      <c r="AD192" s="249"/>
      <c r="AE192" s="273">
        <v>61139</v>
      </c>
      <c r="AF192" s="277">
        <f>(AF181+AF182+AF184+AF185+AF190+AF191)*porzonacargo</f>
        <v>0</v>
      </c>
      <c r="AG192" s="249"/>
      <c r="AH192" s="273">
        <v>50441</v>
      </c>
      <c r="AI192" s="262"/>
      <c r="AJ192" s="274"/>
      <c r="AK192" s="272"/>
      <c r="AL192" s="251"/>
      <c r="AM192" s="275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</row>
    <row r="193" spans="1:52" ht="15" hidden="1" thickBot="1">
      <c r="A193" s="61"/>
      <c r="B193" s="673">
        <v>185</v>
      </c>
      <c r="C193" s="253"/>
      <c r="D193" s="278" t="s">
        <v>82</v>
      </c>
      <c r="E193" s="279">
        <f>IF(punbascar&lt;980,IF(punbascar&lt;913,G191,G188),0)</f>
        <v>17083.924294892033</v>
      </c>
      <c r="F193" s="249"/>
      <c r="G193" s="276">
        <f>IF((totalremocatavoaumFonidene23-E192*1.07-E183*(1+porantigcargo+porzonacargo)*1.07)*0.81&lt;G192-E198-E200-E201,(G192-E198-E200-E201-(totalremocatavoaumFonidene23-E192*1.07-E183*(1+porantigcargo+porzonacargo)*1.07)*0.81)/0.81,0)/1.07</f>
        <v>17083.924294892033</v>
      </c>
      <c r="H193" s="279">
        <f>IF(punbascar&lt;980,IF(punbascar&lt;913,J191,J188),0)</f>
        <v>17522.277292499541</v>
      </c>
      <c r="I193" s="249"/>
      <c r="J193" s="276">
        <f>IF((totalremocatavoaumFoniddic22-H192*1.07-H183*(1+porantigcargo+porzonacargo)*1.07)*0.81&lt;J192-H198-H200-H201,(J192-H198-H200-H201-(totalremocatavoaumFoniddic22-H192*1.07-H183*(1+porantigcargo+porzonacargo)*1.07)*0.81)/0.81,0)/1.07</f>
        <v>17522.277292499541</v>
      </c>
      <c r="K193" s="279">
        <f>IF(punbascar&lt;980,IF(punbascar&lt;913,M191,M188),0)</f>
        <v>17522.277292499541</v>
      </c>
      <c r="L193" s="249"/>
      <c r="M193" s="276">
        <f>IF((totalremoctavoaum22-K192*1.07-K183*(1+porantigcargo+porzonacargo)*1.07)*0.81&lt;M192-K198-K200,(M192-K198-K200-(totalremoctavoaum22-K192*1.07-K183*(1+porantigcargo+porzonacargo)*1.07)*0.81)/0.81,0)/1.07</f>
        <v>17522.277292499541</v>
      </c>
      <c r="N193" s="279">
        <f>IF(punbascar&lt;980,IF(punbascar&lt;913,P191,P188),0)</f>
        <v>15900.172928381447</v>
      </c>
      <c r="O193" s="249"/>
      <c r="P193" s="276">
        <f>IF((totalremseptimoaum22-N192*1.07-N183*(1+porantigcargo+porzonacargo)*1.07)*0.81&lt;P192-N198-N200,(P192-N198-N200-(totalremseptimoaum22-N192*1.07-N183*(1+porantigcargo+porzonacargo)*1.07)*0.81)/0.81,0)/1.07</f>
        <v>15900.172928381447</v>
      </c>
      <c r="Q193" s="279">
        <f>IF(punbascar&lt;980,IF(punbascar&lt;913,S191,S188),0)</f>
        <v>15269.722366162465</v>
      </c>
      <c r="R193" s="249"/>
      <c r="S193" s="276">
        <f>IF((totalremsextoaum22-Q192*1.07-Q183*(1+porantigcargo+porzonacargo)*1.07)*0.81&lt;S192-Q198-Q200,(S192-Q198-Q200-(totalremsextoaum22-Q192*1.07-Q183*(1+porantigcargo+porzonacargo)*1.07)*0.81)/0.81,0)/1.07</f>
        <v>15269.722366162465</v>
      </c>
      <c r="T193" s="279">
        <f>IF(punbascar&lt;980,IF(punbascar&lt;913,V191,V188),0)</f>
        <v>13467.677691994115</v>
      </c>
      <c r="U193" s="249"/>
      <c r="V193" s="276">
        <f>IF((totalremquintoaum22-T192*1.07-T183*(1+porantigcargo+porzonacargo)*1.07)*0.81&lt;V192-T198-T200,(V192-T198-T200-(totalremquintoaum22-T192*1.07-T183*(1+porantigcargo+porzonacargo)*1.07)*0.81)/0.81,0)/1.07</f>
        <v>13467.677691994115</v>
      </c>
      <c r="W193" s="279">
        <f>IF(punbascar&lt;980,IF(punbascar&lt;913,Y191,Y188),0)</f>
        <v>12247.133115640911</v>
      </c>
      <c r="X193" s="680">
        <f>(12247-W193)/12247</f>
        <v>-1.0869244787339435E-5</v>
      </c>
      <c r="Y193" s="276">
        <f>IF((totalremterceraum22-W192*1.07-W183*(1+porantigcargo+porzonacargo)*1.07)*0.81&lt;Y192-W198-W200,(Y192-W198-W200-(totalremterceraum22-W192*1.07-W183*(1+porantigcargo+porzonacargo)*1.07)*0.81)/0.81,0)/1.07</f>
        <v>12247.133115640911</v>
      </c>
      <c r="Z193" s="279">
        <f>IF(punbascar&lt;980,IF(punbascar&lt;913,AB191,AB188),0)</f>
        <v>11650.701651551284</v>
      </c>
      <c r="AA193" s="249"/>
      <c r="AB193" s="276">
        <f>IF((totalremsegundoaum22-Z192*1.07)*0.81&lt;AB192-Z198-Z200,(AB192-Z198-Z200-(totalremsegundoaum22-Z192*1.07)*0.81)/0.81,0)/1.07</f>
        <v>11650.701651551284</v>
      </c>
      <c r="AC193" s="279">
        <f>IF(punbascar&lt;980,IF(punbascar&lt;913,AE191,AE188),0)</f>
        <v>10922.766798498793</v>
      </c>
      <c r="AD193" s="249"/>
      <c r="AE193" s="276">
        <f>IF((totalremprimeraum22-AC192*1.07)*0.81&lt;AE192-AC198-AC200,(AE192-AC198-AC200-(totalremprimeraum22-AC192*1.07)*0.81)/0.81,0)/1.07</f>
        <v>10922.766798498793</v>
      </c>
      <c r="AF193" s="279">
        <f>IF(punbascar&lt;980,IF(punbascar&lt;913,AH191,AH188),0)</f>
        <v>9011.5051335696589</v>
      </c>
      <c r="AG193" s="249"/>
      <c r="AH193" s="276">
        <f>IF((totalremene22-AF192*1.07)*0.81&lt;AH192-AF198-AF200,(AH192-AF198-AF200-(totalremene22-AF192*1.07)*0.81)/0.81,0)/1.07</f>
        <v>9011.5051335696589</v>
      </c>
      <c r="AI193" s="262"/>
      <c r="AJ193" s="263"/>
      <c r="AK193" s="280"/>
      <c r="AL193" s="251"/>
      <c r="AM193" s="257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</row>
    <row r="194" spans="1:52" ht="16.5" hidden="1" thickBot="1">
      <c r="A194" s="61"/>
      <c r="B194" s="672" t="s">
        <v>83</v>
      </c>
      <c r="C194" s="592">
        <f>C132</f>
        <v>1</v>
      </c>
      <c r="D194" s="246" t="s">
        <v>84</v>
      </c>
      <c r="E194" s="260">
        <f>IF(AND(puntosproljor&lt;620,punbascar&lt;2200),3156.02,6312.05)*C194</f>
        <v>3156.02</v>
      </c>
      <c r="F194" s="249"/>
      <c r="G194" s="266"/>
      <c r="H194" s="260">
        <f>IF(AND(puntosproljor&lt;620,punbascar&lt;2200),3071.51,6143.03)*C194</f>
        <v>3071.51</v>
      </c>
      <c r="I194" s="249"/>
      <c r="J194" s="266"/>
      <c r="K194" s="260">
        <f>IF(AND(puntosproljor&lt;620,punbascar&lt;2200),3071.51,6143.03)*C194</f>
        <v>3071.51</v>
      </c>
      <c r="L194" s="249"/>
      <c r="M194" s="266"/>
      <c r="N194" s="260">
        <f>IF(AND(puntosproljor&lt;620,punbascar&lt;2200),2787.19,5574.37)*C194</f>
        <v>2787.19</v>
      </c>
      <c r="O194" s="249"/>
      <c r="P194" s="266"/>
      <c r="Q194" s="260">
        <f>IF(AND(puntosproljor&lt;620,punbascar&lt;2200),2676.62,5353.23)*C194</f>
        <v>2676.62</v>
      </c>
      <c r="R194" s="249"/>
      <c r="S194" s="266"/>
      <c r="T194" s="260">
        <f>IF(AND(puntosproljor&lt;620,punbascar&lt;2200),1046.78,2093.56)*C194*1.509*Aumento5</f>
        <v>2360.6987793899998</v>
      </c>
      <c r="U194" s="249"/>
      <c r="V194" s="266"/>
      <c r="W194" s="260">
        <f>IF(AND(puntosproljor&lt;620,punbascar&lt;2200),1046.78,2093.56)*C194*1.509*Aumento3</f>
        <v>2200.2123317579999</v>
      </c>
      <c r="X194" s="249"/>
      <c r="Y194" s="266"/>
      <c r="Z194" s="260">
        <f>IF(AND(puntosproljor&lt;620,punbascar&lt;2200),1046.78,2093.56)*C194*1.509*Aumento2</f>
        <v>2042.2532297579996</v>
      </c>
      <c r="AA194" s="249"/>
      <c r="AB194" s="266"/>
      <c r="AC194" s="260">
        <f>IF(AND(puntosproljor&lt;620,punbascar&lt;2200),1046.78,2093.56)*C194*Aumento1*1.509</f>
        <v>1914.6222753419995</v>
      </c>
      <c r="AD194" s="249"/>
      <c r="AE194" s="266"/>
      <c r="AF194" s="260">
        <f>IF(AND(puntosproljor&lt;620,punbascar&lt;2200),1046.78,2093.56)*C194*1.509</f>
        <v>1579.5910199999998</v>
      </c>
      <c r="AG194" s="249"/>
      <c r="AH194" s="266"/>
      <c r="AI194" s="251"/>
      <c r="AJ194" s="281"/>
      <c r="AK194" s="257"/>
      <c r="AL194" s="282"/>
      <c r="AM194" s="281"/>
      <c r="AN194" s="257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</row>
    <row r="195" spans="1:52" ht="13.5" hidden="1" thickBot="1">
      <c r="A195" s="61"/>
      <c r="B195" s="672">
        <v>29</v>
      </c>
      <c r="C195" s="283">
        <f>cantkm</f>
        <v>0</v>
      </c>
      <c r="D195" s="246" t="s">
        <v>85</v>
      </c>
      <c r="E195" s="260">
        <f>IF(kmsem&lt;300,kmsem*14.3004*4,17160.5)</f>
        <v>0</v>
      </c>
      <c r="F195" s="284">
        <f>16701*1.998/1.9445</f>
        <v>17160.502957058368</v>
      </c>
      <c r="G195" s="273">
        <v>139632</v>
      </c>
      <c r="H195" s="260">
        <f>IF(kmsem&lt;300,kmsem*13.9175*4,16701)</f>
        <v>0</v>
      </c>
      <c r="I195" s="284"/>
      <c r="J195" s="273">
        <v>135893</v>
      </c>
      <c r="K195" s="260">
        <f>IF(kmsem&lt;300,kmsem*13.9175*4,16701)</f>
        <v>0</v>
      </c>
      <c r="L195" s="284"/>
      <c r="M195" s="273">
        <v>129661</v>
      </c>
      <c r="N195" s="260">
        <f>IF(kmsem&lt;300,kmsem*12.6292*4,15155)</f>
        <v>0</v>
      </c>
      <c r="O195" s="763"/>
      <c r="P195" s="273">
        <v>119118</v>
      </c>
      <c r="Q195" s="260">
        <f>IF(kmsem&lt;300,kmsem*12.1283*4,14554)</f>
        <v>0</v>
      </c>
      <c r="R195" s="249"/>
      <c r="S195" s="273">
        <v>115018</v>
      </c>
      <c r="T195" s="260">
        <f>IF(kmsem&lt;300,kmsem*4.3141666*4,5177)*1.659*Aumento5</f>
        <v>0</v>
      </c>
      <c r="U195" s="284"/>
      <c r="V195" s="273">
        <v>102318</v>
      </c>
      <c r="W195" s="260">
        <f>IF(kmsem&lt;300,kmsem*4.3141666*4,5177)*1.659*Aumento3</f>
        <v>0</v>
      </c>
      <c r="X195" s="284"/>
      <c r="Y195" s="273">
        <v>95806</v>
      </c>
      <c r="Z195" s="260">
        <f>IF(kmsem&lt;300,kmsem*4.3141666*4,5177)*1.659*Aumento2</f>
        <v>0</v>
      </c>
      <c r="AA195" s="249"/>
      <c r="AB195" s="273">
        <v>88042</v>
      </c>
      <c r="AC195" s="260">
        <f>IF(kmsem&lt;300,kmsem*4.3141666*4,5177)*1.659*Aumento1</f>
        <v>0</v>
      </c>
      <c r="AD195" s="284"/>
      <c r="AE195" s="273">
        <v>83309</v>
      </c>
      <c r="AF195" s="260">
        <f>IF(kmsem&lt;300,kmsem*4.3141666*4,5177)*1.659</f>
        <v>0</v>
      </c>
      <c r="AG195" s="284" t="s">
        <v>490</v>
      </c>
      <c r="AH195" s="273">
        <v>68732</v>
      </c>
      <c r="AI195" s="251"/>
      <c r="AJ195" s="251"/>
      <c r="AK195" s="275"/>
      <c r="AL195" s="251"/>
      <c r="AM195" s="251"/>
      <c r="AN195" s="275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</row>
    <row r="196" spans="1:52" hidden="1" thickBot="1">
      <c r="A196" s="61"/>
      <c r="B196" s="252" t="s">
        <v>86</v>
      </c>
      <c r="C196" s="253" t="s">
        <v>87</v>
      </c>
      <c r="D196" s="253"/>
      <c r="E196" s="285">
        <f>E134</f>
        <v>0</v>
      </c>
      <c r="F196" s="249"/>
      <c r="G196" s="276">
        <f>IF((totalremocatavoaumFonidene23-E192*1.07)*0.81&lt;G195-E198-E200-H201,(G195-E198-E200-H201-(totalremocatavoaumFonidene23-E192*1.07)*0.81)/0.81,0)/1.07</f>
        <v>61157.998368966102</v>
      </c>
      <c r="H196" s="285">
        <f>H134</f>
        <v>0</v>
      </c>
      <c r="I196" s="249"/>
      <c r="J196" s="276">
        <f>IF((totalremocatavoaumFoniddic22-H192*1.07)*0.81&lt;J195-H198-H200-H201,(J195-H198-H200-H201-(totalremocatavoaumFoniddic22-H192*1.07)*0.81)/0.81,0)/1.07</f>
        <v>59854.110683522958</v>
      </c>
      <c r="K196" s="285">
        <f>K134</f>
        <v>0</v>
      </c>
      <c r="L196" s="249"/>
      <c r="M196" s="276">
        <f>IF((totalremoctavoaum22-K192*1.07)*0.81&lt;M195-K198-K200,(M195-K198-K200-(totalremoctavoaum22-K192*1.07)*0.81)/0.81,0)/1.07</f>
        <v>56258.864346843598</v>
      </c>
      <c r="N196" s="285">
        <f>N134</f>
        <v>0</v>
      </c>
      <c r="O196" s="249"/>
      <c r="P196" s="276">
        <f>IF((totalremseptimoaum22-N192*1.07)*0.81&lt;P195-N198-N200,(P195-N198-N200-(totalremseptimoaum22-N192*1.07)*0.81)/0.81,0)/1.07</f>
        <v>51893.019357364945</v>
      </c>
      <c r="Q196" s="285">
        <f>Q134</f>
        <v>0</v>
      </c>
      <c r="R196" s="249"/>
      <c r="S196" s="276">
        <f>IF((totalremsextoaum22-Q192*1.07)*0.81&lt;S195-Q198-Q200,(S195-Q198-Q200-(totalremsextoaum22-Q192*1.07)*0.81)/0.81,0)/1.07</f>
        <v>50195.302151555334</v>
      </c>
      <c r="T196" s="285">
        <f>T134</f>
        <v>0</v>
      </c>
      <c r="U196" s="249"/>
      <c r="V196" s="276">
        <f>IF((totalremquintoaum22-T192*1.07)*0.81&lt;V195-T198-T200,(V195-T198-T200-(totalremquintoaum22-T192*1.07)*0.81)/0.81,0)/1.07</f>
        <v>44776.088906947378</v>
      </c>
      <c r="W196" s="285">
        <f>W134</f>
        <v>0</v>
      </c>
      <c r="X196" s="249"/>
      <c r="Y196" s="276">
        <f>IF((totalremterceraum22-W192*1.07)*0.81&lt;Y195-W198-W200,(Y195-W198-W200-(totalremterceraum22-W192*1.07)*0.81)/0.81,0)/1.07</f>
        <v>41664.463218329263</v>
      </c>
      <c r="Z196" s="285">
        <f>Z134</f>
        <v>0</v>
      </c>
      <c r="AA196" s="249"/>
      <c r="AB196" s="276">
        <f>IF((totalremsegundoaum22-Z192*1.07)*0.81&lt;AB195-Z198-Z200,(AB195-Z198-Z200-(totalremsegundoaum22-Z192*1.07)*0.81)/0.81,0)/1.07</f>
        <v>38462.747342101648</v>
      </c>
      <c r="AC196" s="285">
        <f>AC134</f>
        <v>0</v>
      </c>
      <c r="AD196" s="249"/>
      <c r="AE196" s="276">
        <f>IF((totalremprimeraum22-AC192*1.07)*0.81&lt;AE195-AC198-AC200,(AE195-AC198-AC200-(totalremprimeraum22-AC192*1.07)*0.81)/0.81,0)/1.07</f>
        <v>36502.55219136829</v>
      </c>
      <c r="AF196" s="285">
        <f>AF134</f>
        <v>0</v>
      </c>
      <c r="AG196" s="249"/>
      <c r="AH196" s="276">
        <f>IF((totalremene22-AF192*1.07)*0.81&lt;AH195-AF198-AF200,(AH195-AF198-AF200-(totalremene22-AF192*1.07)*0.81)/0.81,0)/1.07</f>
        <v>30115.693434019642</v>
      </c>
      <c r="AI196" s="286"/>
      <c r="AJ196" s="281"/>
      <c r="AK196" s="257"/>
      <c r="AL196" s="286"/>
      <c r="AM196" s="281"/>
      <c r="AN196" s="257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</row>
    <row r="197" spans="1:52" ht="16.5" hidden="1" thickBot="1">
      <c r="A197" s="61"/>
      <c r="B197" s="252"/>
      <c r="C197" s="253"/>
      <c r="D197" s="287" t="s">
        <v>88</v>
      </c>
      <c r="E197" s="288">
        <f>SUM(E181:E194,E195,E196)</f>
        <v>110904.93827160494</v>
      </c>
      <c r="G197" s="289"/>
      <c r="H197" s="288">
        <f>SUM(H181:H194,H195,H196)</f>
        <v>108893.82716049382</v>
      </c>
      <c r="I197" s="249"/>
      <c r="J197" s="289"/>
      <c r="K197" s="288">
        <f>SUM(K181:K194,K195,K196)</f>
        <v>108893.82716049382</v>
      </c>
      <c r="L197" s="249"/>
      <c r="M197" s="289"/>
      <c r="N197" s="288">
        <f>SUM(N181:N194,N195,N196)</f>
        <v>98813.580246913567</v>
      </c>
      <c r="O197" s="249"/>
      <c r="P197" s="289"/>
      <c r="Q197" s="288">
        <f>SUM(Q181:Q194,Q195,Q196)</f>
        <v>94893.82716049382</v>
      </c>
      <c r="R197" s="249"/>
      <c r="S197" s="289"/>
      <c r="T197" s="288">
        <f>SUM(T181:T194,T195,T196)</f>
        <v>83693.827160493849</v>
      </c>
      <c r="U197" s="249"/>
      <c r="V197" s="289"/>
      <c r="W197" s="288">
        <f>SUM(W181:W194,W195,W196)</f>
        <v>77677.777777777766</v>
      </c>
      <c r="X197" s="249"/>
      <c r="Y197" s="289"/>
      <c r="Z197" s="288">
        <f>SUM(Z181:Z194,Z195,Z196)</f>
        <v>72403.703703703693</v>
      </c>
      <c r="AA197" s="249"/>
      <c r="AB197" s="289"/>
      <c r="AC197" s="288">
        <f>SUM(AC181:AC194,AC195,AC196)</f>
        <v>67879.012345679017</v>
      </c>
      <c r="AD197" s="249"/>
      <c r="AE197" s="289"/>
      <c r="AF197" s="288">
        <f>SUM(AF181:AF194,AF195,AF196)</f>
        <v>56001.234567901229</v>
      </c>
      <c r="AG197" s="249"/>
      <c r="AH197" s="289"/>
      <c r="AI197" s="290"/>
      <c r="AJ197" s="281"/>
      <c r="AK197" s="61"/>
      <c r="AL197" s="290"/>
      <c r="AM197" s="28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</row>
    <row r="198" spans="1:52" ht="16.5" hidden="1" thickBot="1">
      <c r="A198" s="61"/>
      <c r="B198" s="672">
        <v>84</v>
      </c>
      <c r="C198" s="592">
        <f>C136</f>
        <v>1</v>
      </c>
      <c r="D198" s="246" t="s">
        <v>89</v>
      </c>
      <c r="E198" s="260">
        <f>IF(AND(puntosproljor&lt;620,punbascar&lt;2200),7350,14700)*C198</f>
        <v>7350</v>
      </c>
      <c r="F198" s="249"/>
      <c r="G198" s="266"/>
      <c r="H198" s="260">
        <f>IF(AND(puntosproljor&lt;620,punbascar&lt;2200),6750,13500)*C198</f>
        <v>6750</v>
      </c>
      <c r="I198" s="249"/>
      <c r="J198" s="266"/>
      <c r="K198" s="260">
        <f>IF(AND(puntosproljor&lt;620,punbascar&lt;2200),5634,11268)*C198</f>
        <v>5634</v>
      </c>
      <c r="L198" s="249"/>
      <c r="M198" s="266"/>
      <c r="N198" s="260">
        <f>IF(AND(puntosproljor&lt;620,punbascar&lt;2200),5634,11268)*C198</f>
        <v>5634</v>
      </c>
      <c r="O198" s="249"/>
      <c r="P198" s="266"/>
      <c r="Q198" s="260">
        <f>IF(AND(puntosproljor&lt;620,punbascar&lt;2200),5634,11268)*C198</f>
        <v>5634</v>
      </c>
      <c r="R198" s="249"/>
      <c r="S198" s="266"/>
      <c r="T198" s="260">
        <f>IF(AND(puntosproljor&lt;620,punbascar&lt;2200),5141,10282)*C198</f>
        <v>5141</v>
      </c>
      <c r="U198" s="249"/>
      <c r="V198" s="266"/>
      <c r="W198" s="260">
        <f>IF(AND(puntosproljor&lt;620,punbascar&lt;2200),5141,10282)*C198</f>
        <v>5141</v>
      </c>
      <c r="X198" s="249">
        <f>W198-Z198</f>
        <v>1234</v>
      </c>
      <c r="Y198" s="266"/>
      <c r="Z198" s="260">
        <f>IF(AND(puntosproljor&lt;620,punbascar&lt;2200),3907,7814)*C198</f>
        <v>3907</v>
      </c>
      <c r="AA198" s="249"/>
      <c r="AB198" s="266"/>
      <c r="AC198" s="260">
        <f>IF(AND(puntosproljor&lt;620,punbascar&lt;2200),3907,7814)*C198</f>
        <v>3907</v>
      </c>
      <c r="AD198" s="249"/>
      <c r="AE198" s="266"/>
      <c r="AF198" s="260">
        <f>IF(AND(puntosproljor&lt;620,punbascar&lt;2200),2830,5660)*C198</f>
        <v>2830</v>
      </c>
      <c r="AG198" s="249"/>
      <c r="AH198" s="266"/>
      <c r="AI198" s="282"/>
      <c r="AJ198" s="281"/>
      <c r="AK198" s="61"/>
      <c r="AL198" s="282"/>
      <c r="AM198" s="28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</row>
    <row r="199" spans="1:52" ht="16.5" hidden="1" thickBot="1">
      <c r="A199" s="61"/>
      <c r="B199" s="673">
        <v>99</v>
      </c>
      <c r="C199" s="291"/>
      <c r="D199" s="253" t="s">
        <v>90</v>
      </c>
      <c r="E199" s="285">
        <f>E137</f>
        <v>0</v>
      </c>
      <c r="F199" s="249"/>
      <c r="G199" s="266"/>
      <c r="H199" s="285">
        <f>H137</f>
        <v>0</v>
      </c>
      <c r="I199" s="249"/>
      <c r="J199" s="266"/>
      <c r="K199" s="285">
        <f>K137</f>
        <v>0</v>
      </c>
      <c r="L199" s="249"/>
      <c r="M199" s="266"/>
      <c r="N199" s="285">
        <f>N137</f>
        <v>0</v>
      </c>
      <c r="O199" s="249"/>
      <c r="P199" s="266"/>
      <c r="Q199" s="285">
        <f>Q137</f>
        <v>0</v>
      </c>
      <c r="R199" s="249"/>
      <c r="S199" s="266"/>
      <c r="T199" s="285">
        <f>T137</f>
        <v>0</v>
      </c>
      <c r="U199" s="249"/>
      <c r="V199" s="266"/>
      <c r="W199" s="285">
        <f>W137</f>
        <v>0</v>
      </c>
      <c r="X199" s="249"/>
      <c r="Y199" s="267"/>
      <c r="Z199" s="285">
        <f>Z137</f>
        <v>0</v>
      </c>
      <c r="AA199" s="249"/>
      <c r="AB199" s="267"/>
      <c r="AC199" s="285">
        <f>AC137</f>
        <v>0</v>
      </c>
      <c r="AD199" s="249"/>
      <c r="AE199" s="267"/>
      <c r="AF199" s="285">
        <f>AF137</f>
        <v>0</v>
      </c>
      <c r="AG199" s="249"/>
      <c r="AH199" s="267"/>
      <c r="AI199" s="292"/>
      <c r="AJ199" s="281"/>
      <c r="AK199" s="61"/>
      <c r="AL199" s="292"/>
      <c r="AM199" s="28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</row>
    <row r="200" spans="1:52" ht="16.5" hidden="1" thickBot="1">
      <c r="A200" s="61"/>
      <c r="B200" s="672">
        <v>54</v>
      </c>
      <c r="C200" s="592">
        <f>C138</f>
        <v>1</v>
      </c>
      <c r="D200" s="246" t="s">
        <v>91</v>
      </c>
      <c r="E200" s="260">
        <f>IF(AND(puntosproljor&lt;620,punbascar&lt;2200),2250,4500)*C200</f>
        <v>2250</v>
      </c>
      <c r="F200" s="249"/>
      <c r="G200" s="267"/>
      <c r="H200" s="260">
        <f>IF(AND(puntosproljor&lt;620,punbascar&lt;2200),2250,4500)*C200</f>
        <v>2250</v>
      </c>
      <c r="I200" s="249"/>
      <c r="J200" s="267"/>
      <c r="K200" s="260">
        <f>IF(AND(puntosproljor&lt;620,punbascar&lt;2200),2250,4500)*C200</f>
        <v>2250</v>
      </c>
      <c r="L200" s="249"/>
      <c r="M200" s="267"/>
      <c r="N200" s="260">
        <f>IF(AND(puntosproljor&lt;620,punbascar&lt;2200),2250,4500)*C200</f>
        <v>2250</v>
      </c>
      <c r="O200" s="249"/>
      <c r="P200" s="267"/>
      <c r="Q200" s="260">
        <f>IF(AND(puntosproljor&lt;620,punbascar&lt;2200),2250,4500)*C200</f>
        <v>2250</v>
      </c>
      <c r="R200" s="249"/>
      <c r="S200" s="267"/>
      <c r="T200" s="260">
        <f>IF(AND(puntosproljor&lt;620,punbascar&lt;2200),2250,4500)*C200</f>
        <v>2250</v>
      </c>
      <c r="U200" s="249"/>
      <c r="V200" s="267"/>
      <c r="W200" s="260">
        <f>IF(AND(puntosproljor&lt;620,punbascar&lt;2200),2250,4500)*C200</f>
        <v>2250</v>
      </c>
      <c r="X200" s="249"/>
      <c r="Y200" s="267"/>
      <c r="Z200" s="260">
        <f>IF(AND(puntosproljor&lt;620,punbascar&lt;2200),2250,4500)*C200</f>
        <v>2250</v>
      </c>
      <c r="AA200" s="249"/>
      <c r="AB200" s="267"/>
      <c r="AC200" s="260">
        <f>IF(AND(puntosproljor&lt;620,punbascar&lt;2200),2250,4500)*C200</f>
        <v>2250</v>
      </c>
      <c r="AD200" s="249"/>
      <c r="AE200" s="267"/>
      <c r="AF200" s="260">
        <f>IF(AND(puntosproljor&lt;620,punbascar&lt;2200),2250,4500)*C200</f>
        <v>2250</v>
      </c>
      <c r="AG200" s="249"/>
      <c r="AH200" s="267"/>
      <c r="AI200" s="282"/>
      <c r="AJ200" s="281"/>
      <c r="AK200" s="61"/>
      <c r="AL200" s="282"/>
      <c r="AM200" s="28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</row>
    <row r="201" spans="1:52" s="821" customFormat="1" ht="16.5" hidden="1" thickBot="1">
      <c r="A201" s="61"/>
      <c r="B201" s="876">
        <v>64</v>
      </c>
      <c r="C201" s="420">
        <f>E201/133.333</f>
        <v>18.750046875117189</v>
      </c>
      <c r="D201" s="246" t="s">
        <v>538</v>
      </c>
      <c r="E201" s="260">
        <f>IF(AND(puntosproljor&lt;620,punbascar&lt;2200),2500,5000)*C200</f>
        <v>2500</v>
      </c>
      <c r="F201" s="249"/>
      <c r="G201" s="267"/>
      <c r="H201" s="260">
        <f>IF(AND(puntosproljor&lt;620,punbascar&lt;2200),2000,4000)*C200</f>
        <v>2000</v>
      </c>
      <c r="I201" s="249"/>
      <c r="J201" s="267"/>
      <c r="K201" s="260"/>
      <c r="L201" s="249"/>
      <c r="M201" s="267"/>
      <c r="N201" s="260"/>
      <c r="O201" s="249"/>
      <c r="P201" s="267"/>
      <c r="Q201" s="260"/>
      <c r="R201" s="249"/>
      <c r="S201" s="267"/>
      <c r="T201" s="260"/>
      <c r="U201" s="249"/>
      <c r="V201" s="267"/>
      <c r="W201" s="260"/>
      <c r="X201" s="249"/>
      <c r="Y201" s="267"/>
      <c r="Z201" s="260"/>
      <c r="AA201" s="249"/>
      <c r="AB201" s="267"/>
      <c r="AC201" s="260"/>
      <c r="AD201" s="249"/>
      <c r="AE201" s="267"/>
      <c r="AF201" s="260"/>
      <c r="AG201" s="249"/>
      <c r="AH201" s="267"/>
      <c r="AI201" s="282"/>
      <c r="AJ201" s="281"/>
      <c r="AK201" s="61"/>
      <c r="AL201" s="282"/>
      <c r="AM201" s="28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</row>
    <row r="202" spans="1:52" ht="16.5" hidden="1" thickBot="1">
      <c r="A202" s="61"/>
      <c r="B202" s="673"/>
      <c r="C202" s="287"/>
      <c r="D202" s="293" t="s">
        <v>92</v>
      </c>
      <c r="E202" s="288">
        <f>SUM(E197:E201)</f>
        <v>123004.93827160494</v>
      </c>
      <c r="F202" s="249"/>
      <c r="G202" s="294"/>
      <c r="H202" s="288">
        <f>SUM(H197:H201)</f>
        <v>119893.82716049382</v>
      </c>
      <c r="I202" s="249"/>
      <c r="J202" s="294"/>
      <c r="K202" s="288">
        <f>SUM(K197:K200)</f>
        <v>116777.82716049382</v>
      </c>
      <c r="L202" s="249"/>
      <c r="M202" s="294"/>
      <c r="N202" s="288">
        <f>SUM(N197:N200)</f>
        <v>106697.58024691357</v>
      </c>
      <c r="O202" s="249"/>
      <c r="P202" s="294"/>
      <c r="Q202" s="288">
        <f>SUM(Q197:Q200)</f>
        <v>102777.82716049382</v>
      </c>
      <c r="R202" s="249"/>
      <c r="S202" s="294"/>
      <c r="T202" s="288">
        <f>SUM(T197:T200)</f>
        <v>91084.827160493849</v>
      </c>
      <c r="U202" s="249"/>
      <c r="V202" s="294"/>
      <c r="W202" s="288">
        <f>SUM(W197:W200)</f>
        <v>85068.777777777766</v>
      </c>
      <c r="X202" s="249"/>
      <c r="Y202" s="294"/>
      <c r="Z202" s="288">
        <f>SUM(Z197:Z200)</f>
        <v>78560.703703703693</v>
      </c>
      <c r="AA202" s="249"/>
      <c r="AB202" s="294"/>
      <c r="AC202" s="288">
        <f>SUM(AC197:AC200)</f>
        <v>74036.012345679017</v>
      </c>
      <c r="AD202" s="249"/>
      <c r="AE202" s="294"/>
      <c r="AF202" s="288">
        <f>SUM(AF197:AF200)</f>
        <v>61081.234567901229</v>
      </c>
      <c r="AG202" s="249"/>
      <c r="AH202" s="294"/>
      <c r="AI202" s="290"/>
      <c r="AJ202" s="295"/>
      <c r="AK202" s="61"/>
      <c r="AL202" s="290"/>
      <c r="AM202" s="295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</row>
    <row r="203" spans="1:52" hidden="1" thickBot="1">
      <c r="A203" s="61"/>
      <c r="B203" s="672">
        <v>440</v>
      </c>
      <c r="C203" s="243"/>
      <c r="D203" s="246" t="s">
        <v>93</v>
      </c>
      <c r="E203" s="285">
        <f>E140</f>
        <v>0</v>
      </c>
      <c r="F203" s="283">
        <f>-E203</f>
        <v>0</v>
      </c>
      <c r="G203" s="267"/>
      <c r="H203" s="285">
        <f>H140</f>
        <v>0</v>
      </c>
      <c r="I203" s="283">
        <f>-H203</f>
        <v>0</v>
      </c>
      <c r="J203" s="267"/>
      <c r="K203" s="285">
        <f>K140</f>
        <v>0</v>
      </c>
      <c r="L203" s="283">
        <f>-K203</f>
        <v>0</v>
      </c>
      <c r="M203" s="267"/>
      <c r="N203" s="285">
        <f>N140</f>
        <v>0</v>
      </c>
      <c r="O203" s="283">
        <f>-N203</f>
        <v>0</v>
      </c>
      <c r="P203" s="267"/>
      <c r="Q203" s="285">
        <f>Q140</f>
        <v>0</v>
      </c>
      <c r="R203" s="283">
        <f>-Q203</f>
        <v>0</v>
      </c>
      <c r="S203" s="267"/>
      <c r="T203" s="285">
        <f>T140</f>
        <v>0</v>
      </c>
      <c r="U203" s="283">
        <f>-T203</f>
        <v>0</v>
      </c>
      <c r="V203" s="267"/>
      <c r="W203" s="285">
        <f>W140</f>
        <v>0</v>
      </c>
      <c r="X203" s="283">
        <f>-W203</f>
        <v>0</v>
      </c>
      <c r="Y203" s="267"/>
      <c r="Z203" s="285">
        <f>Z140</f>
        <v>0</v>
      </c>
      <c r="AA203" s="283">
        <f>-Z203</f>
        <v>0</v>
      </c>
      <c r="AB203" s="267"/>
      <c r="AC203" s="285">
        <f>AC140</f>
        <v>0</v>
      </c>
      <c r="AD203" s="283">
        <f>-AC203</f>
        <v>0</v>
      </c>
      <c r="AE203" s="267"/>
      <c r="AF203" s="285">
        <f>AF140</f>
        <v>0</v>
      </c>
      <c r="AG203" s="283">
        <f>-AF203</f>
        <v>0</v>
      </c>
      <c r="AH203" s="267"/>
      <c r="AI203" s="292"/>
      <c r="AJ203" s="100"/>
      <c r="AK203" s="251"/>
      <c r="AL203" s="292"/>
      <c r="AM203" s="100"/>
      <c r="AN203" s="25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</row>
    <row r="204" spans="1:52" ht="16.5" hidden="1" thickBot="1">
      <c r="A204" s="61"/>
      <c r="B204" s="673">
        <v>502</v>
      </c>
      <c r="C204" s="648">
        <v>0.16</v>
      </c>
      <c r="D204" s="296" t="s">
        <v>94</v>
      </c>
      <c r="E204" s="297"/>
      <c r="F204" s="298">
        <f>-totalremocatavoaumFonidene23*porjub-porjub*1.07*E193</f>
        <v>-17744.790123456791</v>
      </c>
      <c r="G204" s="267"/>
      <c r="H204" s="297"/>
      <c r="I204" s="298">
        <f>-totalremocatavoaumFoniddic22*porjub-porjub*1.07*H193</f>
        <v>-17423.01234567901</v>
      </c>
      <c r="J204" s="267"/>
      <c r="K204" s="297"/>
      <c r="L204" s="298">
        <f>-totalremoctavoaum22*porjub-porjub*1.07*K193</f>
        <v>-17423.01234567901</v>
      </c>
      <c r="M204" s="267"/>
      <c r="N204" s="297"/>
      <c r="O204" s="298">
        <f>-totalremseptimoaum22*porjub-porjub*1.07*N193</f>
        <v>-15810.172839506171</v>
      </c>
      <c r="P204" s="267"/>
      <c r="Q204" s="297"/>
      <c r="R204" s="298">
        <f>-totalremsextoaum22*porjub-porjub*1.07*Q193</f>
        <v>-15183.012345679013</v>
      </c>
      <c r="S204" s="267"/>
      <c r="T204" s="297"/>
      <c r="U204" s="298">
        <f>-totalremquintoaum22*porjub-porjub*1.07*T193</f>
        <v>-13391.012345679012</v>
      </c>
      <c r="V204" s="267"/>
      <c r="W204" s="297"/>
      <c r="X204" s="298">
        <f>-totalremterceraum22*porjub-porjub*1.07*W193</f>
        <v>-12428.444444444445</v>
      </c>
      <c r="Y204" s="267"/>
      <c r="Z204" s="297"/>
      <c r="AA204" s="298">
        <f>-totalremsegundoaum22*porjub-porjub*1.07*Z193</f>
        <v>-11584.592592592591</v>
      </c>
      <c r="AB204" s="267"/>
      <c r="AC204" s="297"/>
      <c r="AD204" s="298">
        <f>-totalremprimeraum22*porjub-porjub*1.07*AC193</f>
        <v>-10860.641975308641</v>
      </c>
      <c r="AE204" s="267"/>
      <c r="AF204" s="297"/>
      <c r="AG204" s="298">
        <f>-totalremene22*porjub-porjub*1.07*AF193</f>
        <v>-8960.1975308641977</v>
      </c>
      <c r="AH204" s="267"/>
      <c r="AI204" s="84"/>
      <c r="AJ204" s="299"/>
      <c r="AK204" s="300"/>
      <c r="AL204" s="84"/>
      <c r="AM204" s="299"/>
      <c r="AN204" s="300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</row>
    <row r="205" spans="1:52" ht="16.5" hidden="1" thickBot="1">
      <c r="A205" s="61"/>
      <c r="B205" s="673">
        <v>505</v>
      </c>
      <c r="C205" s="648">
        <v>0.03</v>
      </c>
      <c r="D205" s="296" t="s">
        <v>95</v>
      </c>
      <c r="E205" s="297"/>
      <c r="F205" s="298">
        <f>-totalremocatavoaumFonidene23*poros-poros*1.07*E193</f>
        <v>-3327.1481481481478</v>
      </c>
      <c r="G205" s="267"/>
      <c r="H205" s="297"/>
      <c r="I205" s="298">
        <f>-totalremocatavoaumFoniddic22*poros-poros*1.07*H193</f>
        <v>-3266.8148148148143</v>
      </c>
      <c r="J205" s="267"/>
      <c r="K205" s="297"/>
      <c r="L205" s="298">
        <f>-totalremoctavoaum22*poros-poros*1.07*K193</f>
        <v>-3266.8148148148143</v>
      </c>
      <c r="M205" s="267"/>
      <c r="N205" s="297"/>
      <c r="O205" s="298">
        <f>-totalremseptimoaum22*poros-poros*1.07*N193</f>
        <v>-2964.4074074074069</v>
      </c>
      <c r="P205" s="267"/>
      <c r="Q205" s="297"/>
      <c r="R205" s="298">
        <f>-totalremsextoaum22*poros-poros*1.07*Q193</f>
        <v>-2846.8148148148143</v>
      </c>
      <c r="S205" s="267"/>
      <c r="T205" s="297"/>
      <c r="U205" s="298">
        <f>-totalremquintoaum22*poros-poros*1.07*T193</f>
        <v>-2510.8148148148148</v>
      </c>
      <c r="V205" s="267"/>
      <c r="W205" s="297"/>
      <c r="X205" s="298">
        <f>-totalremterceraum22*poros-poros*1.07*W193</f>
        <v>-2330.333333333333</v>
      </c>
      <c r="Y205" s="267"/>
      <c r="Z205" s="297"/>
      <c r="AA205" s="298">
        <f>-totalremsegundoaum22*poros-poros*1.07*Z193</f>
        <v>-2172.1111111111109</v>
      </c>
      <c r="AB205" s="267"/>
      <c r="AC205" s="297"/>
      <c r="AD205" s="298">
        <f>-totalremprimeraum22*poros-poros*1.07*AC193</f>
        <v>-2036.3703703703702</v>
      </c>
      <c r="AE205" s="267"/>
      <c r="AF205" s="297"/>
      <c r="AG205" s="298">
        <f>-totalremene22*poros-poros*1.07*AF193</f>
        <v>-1680.037037037037</v>
      </c>
      <c r="AH205" s="267"/>
      <c r="AI205" s="84"/>
      <c r="AJ205" s="299"/>
      <c r="AK205" s="300"/>
      <c r="AL205" s="84"/>
      <c r="AM205" s="299"/>
      <c r="AN205" s="300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</row>
    <row r="206" spans="1:52" hidden="1" thickBot="1">
      <c r="A206" s="61"/>
      <c r="B206" s="672">
        <v>510</v>
      </c>
      <c r="C206" s="246"/>
      <c r="D206" s="249" t="s">
        <v>96</v>
      </c>
      <c r="E206" s="285">
        <f>E143</f>
        <v>0</v>
      </c>
      <c r="F206" s="283">
        <f>-E206</f>
        <v>0</v>
      </c>
      <c r="G206" s="267"/>
      <c r="H206" s="285">
        <f>H143</f>
        <v>0</v>
      </c>
      <c r="I206" s="283">
        <f>-H206</f>
        <v>0</v>
      </c>
      <c r="J206" s="267"/>
      <c r="K206" s="285">
        <f>K143</f>
        <v>0</v>
      </c>
      <c r="L206" s="283">
        <f>-K206</f>
        <v>0</v>
      </c>
      <c r="M206" s="267"/>
      <c r="N206" s="285">
        <f>N143</f>
        <v>0</v>
      </c>
      <c r="O206" s="283">
        <f>-N206</f>
        <v>0</v>
      </c>
      <c r="P206" s="267"/>
      <c r="Q206" s="285">
        <f>Q143</f>
        <v>0</v>
      </c>
      <c r="R206" s="283">
        <f>-Q206</f>
        <v>0</v>
      </c>
      <c r="S206" s="267"/>
      <c r="T206" s="285">
        <f>T143</f>
        <v>0</v>
      </c>
      <c r="U206" s="283">
        <f>-T206</f>
        <v>0</v>
      </c>
      <c r="V206" s="267"/>
      <c r="W206" s="285">
        <f>W143</f>
        <v>0</v>
      </c>
      <c r="X206" s="283">
        <f>-W206</f>
        <v>0</v>
      </c>
      <c r="Y206" s="267"/>
      <c r="Z206" s="285">
        <f>Z143</f>
        <v>0</v>
      </c>
      <c r="AA206" s="283">
        <f>-Z206</f>
        <v>0</v>
      </c>
      <c r="AB206" s="267"/>
      <c r="AC206" s="285">
        <f>AC143</f>
        <v>0</v>
      </c>
      <c r="AD206" s="283">
        <f>-AC206</f>
        <v>0</v>
      </c>
      <c r="AE206" s="267"/>
      <c r="AF206" s="285">
        <f>AF143</f>
        <v>0</v>
      </c>
      <c r="AG206" s="283">
        <f>-AF206</f>
        <v>0</v>
      </c>
      <c r="AH206" s="267"/>
      <c r="AI206" s="292"/>
      <c r="AJ206" s="100"/>
      <c r="AK206" s="300"/>
      <c r="AL206" s="292"/>
      <c r="AM206" s="100"/>
      <c r="AN206" s="300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</row>
    <row r="207" spans="1:52" ht="16.5" hidden="1" thickBot="1">
      <c r="A207" s="61"/>
      <c r="B207" s="673">
        <v>332</v>
      </c>
      <c r="C207" s="593">
        <f>C144</f>
        <v>0</v>
      </c>
      <c r="D207" s="296" t="s">
        <v>97</v>
      </c>
      <c r="E207" s="301"/>
      <c r="F207" s="298">
        <f>-totalremocatavoaumFonidene23*$C207-E193*$C207-(E198+E199)*$C207</f>
        <v>0</v>
      </c>
      <c r="G207" s="267"/>
      <c r="H207" s="301"/>
      <c r="I207" s="298">
        <f>-totalremocatavoaumFoniddic22*$C207-H193*$C207-(H198+H199)*$C207</f>
        <v>0</v>
      </c>
      <c r="J207" s="267"/>
      <c r="K207" s="301"/>
      <c r="L207" s="298">
        <f>-totalremoctavoaum22*C207-K193*C207-(K198+K199)*C207</f>
        <v>0</v>
      </c>
      <c r="M207" s="267"/>
      <c r="N207" s="593">
        <f>N144</f>
        <v>0</v>
      </c>
      <c r="O207" s="298">
        <f>-totalremseptimoaum22*C207-N193*C207-(N198+N199)*C207</f>
        <v>0</v>
      </c>
      <c r="P207" s="267"/>
      <c r="Q207" s="301"/>
      <c r="R207" s="298">
        <f>-totalremsextoaum22*C207-Q193*C207-(Q198+Q199)*C207</f>
        <v>0</v>
      </c>
      <c r="S207" s="267"/>
      <c r="T207" s="301"/>
      <c r="U207" s="298">
        <f>-totalremquintoaum22*C207-T193*C207-(T198+T199)*C207</f>
        <v>0</v>
      </c>
      <c r="V207" s="267"/>
      <c r="W207" s="301"/>
      <c r="X207" s="298">
        <f>-totalremprimeraum22*C207-W193*C207-(W198+W199)*C207</f>
        <v>0</v>
      </c>
      <c r="Y207" s="267"/>
      <c r="Z207" s="301"/>
      <c r="AA207" s="298">
        <f>-totalremprimeraum22*C207-Z193*C207-(Z198+Z199)*C207</f>
        <v>0</v>
      </c>
      <c r="AB207" s="267"/>
      <c r="AC207" s="301"/>
      <c r="AD207" s="298">
        <f>-totalremprimeraum22*C207-AC193*C207-(AC198+AC199)*C207</f>
        <v>0</v>
      </c>
      <c r="AE207" s="267"/>
      <c r="AF207" s="301"/>
      <c r="AG207" s="298">
        <f>-totalremene22*C207-AF193*C207-(AF198+AF199)*C207</f>
        <v>0</v>
      </c>
      <c r="AH207" s="267"/>
      <c r="AI207" s="292"/>
      <c r="AJ207" s="299"/>
      <c r="AK207" s="300"/>
      <c r="AL207" s="292"/>
      <c r="AM207" s="299"/>
      <c r="AN207" s="300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</row>
    <row r="208" spans="1:52" ht="16.5" hidden="1" thickBot="1">
      <c r="A208" s="61"/>
      <c r="B208" s="245"/>
      <c r="C208" s="593">
        <f>C145</f>
        <v>0</v>
      </c>
      <c r="D208" s="246" t="s">
        <v>98</v>
      </c>
      <c r="E208" s="285">
        <f>E145</f>
        <v>0</v>
      </c>
      <c r="F208" s="283">
        <f>-E208</f>
        <v>0</v>
      </c>
      <c r="G208" s="267"/>
      <c r="H208" s="285">
        <f>H145</f>
        <v>0</v>
      </c>
      <c r="I208" s="283">
        <f>-H208</f>
        <v>0</v>
      </c>
      <c r="J208" s="267"/>
      <c r="K208" s="285">
        <f>K145</f>
        <v>0</v>
      </c>
      <c r="L208" s="283">
        <f>-K208</f>
        <v>0</v>
      </c>
      <c r="M208" s="267"/>
      <c r="N208" s="593">
        <f>N145</f>
        <v>0</v>
      </c>
      <c r="O208" s="283">
        <f>-N208</f>
        <v>0</v>
      </c>
      <c r="P208" s="267"/>
      <c r="Q208" s="285">
        <f>Q145</f>
        <v>0</v>
      </c>
      <c r="R208" s="283">
        <f>-Q208</f>
        <v>0</v>
      </c>
      <c r="S208" s="267"/>
      <c r="T208" s="285">
        <f>T145</f>
        <v>0</v>
      </c>
      <c r="U208" s="283">
        <f>-T208</f>
        <v>0</v>
      </c>
      <c r="V208" s="267"/>
      <c r="W208" s="285">
        <f>W145</f>
        <v>0</v>
      </c>
      <c r="X208" s="283">
        <f>-W208</f>
        <v>0</v>
      </c>
      <c r="Y208" s="267"/>
      <c r="Z208" s="285">
        <f>Z145</f>
        <v>0</v>
      </c>
      <c r="AA208" s="283">
        <f>-Z208</f>
        <v>0</v>
      </c>
      <c r="AB208" s="267"/>
      <c r="AC208" s="285">
        <f>AC145</f>
        <v>0</v>
      </c>
      <c r="AD208" s="283">
        <f>-AC208</f>
        <v>0</v>
      </c>
      <c r="AE208" s="267"/>
      <c r="AF208" s="285">
        <f>AF145</f>
        <v>0</v>
      </c>
      <c r="AG208" s="283">
        <f>-AF208</f>
        <v>0</v>
      </c>
      <c r="AH208" s="267"/>
      <c r="AI208" s="292"/>
      <c r="AJ208" s="100"/>
      <c r="AK208" s="300"/>
      <c r="AL208" s="292"/>
      <c r="AM208" s="100"/>
      <c r="AN208" s="300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</row>
    <row r="209" spans="1:52" ht="16.5" hidden="1" thickBot="1">
      <c r="A209" s="61"/>
      <c r="B209" s="252"/>
      <c r="C209" s="287"/>
      <c r="D209" s="293" t="s">
        <v>99</v>
      </c>
      <c r="E209" s="303"/>
      <c r="F209" s="304">
        <f>SUM(F203:F208)</f>
        <v>-21071.938271604937</v>
      </c>
      <c r="G209" s="294"/>
      <c r="H209" s="303"/>
      <c r="I209" s="304">
        <f>SUM(I203:I208)</f>
        <v>-20689.827160493824</v>
      </c>
      <c r="J209" s="294"/>
      <c r="K209" s="303"/>
      <c r="L209" s="304">
        <f>SUM(L203:L208)</f>
        <v>-20689.827160493824</v>
      </c>
      <c r="M209" s="294"/>
      <c r="N209" s="303"/>
      <c r="O209" s="304">
        <f>SUM(O203:O208)</f>
        <v>-18774.580246913578</v>
      </c>
      <c r="P209" s="294"/>
      <c r="Q209" s="303"/>
      <c r="R209" s="304">
        <f>SUM(R203:R208)</f>
        <v>-18029.827160493827</v>
      </c>
      <c r="S209" s="294"/>
      <c r="T209" s="303"/>
      <c r="U209" s="304">
        <f>SUM(U203:U208)</f>
        <v>-15901.827160493827</v>
      </c>
      <c r="V209" s="294"/>
      <c r="W209" s="303"/>
      <c r="X209" s="304">
        <f>SUM(X203:X208)</f>
        <v>-14758.777777777777</v>
      </c>
      <c r="Y209" s="294"/>
      <c r="Z209" s="303"/>
      <c r="AA209" s="304">
        <f>SUM(AA203:AA208)</f>
        <v>-13756.703703703703</v>
      </c>
      <c r="AB209" s="294"/>
      <c r="AC209" s="303"/>
      <c r="AD209" s="304">
        <f>SUM(AD203:AD208)</f>
        <v>-12897.012345679012</v>
      </c>
      <c r="AE209" s="294"/>
      <c r="AF209" s="303"/>
      <c r="AG209" s="304">
        <f>SUM(AG203:AG208)</f>
        <v>-10640.234567901234</v>
      </c>
      <c r="AH209" s="294"/>
      <c r="AI209" s="126"/>
      <c r="AJ209" s="305"/>
      <c r="AK209" s="257"/>
      <c r="AL209" s="126"/>
      <c r="AM209" s="305"/>
      <c r="AN209" s="257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</row>
    <row r="210" spans="1:52" ht="13.5" hidden="1" thickBot="1">
      <c r="A210" s="61"/>
      <c r="B210" s="245"/>
      <c r="C210" s="246"/>
      <c r="D210" s="283"/>
      <c r="E210" s="246"/>
      <c r="F210" s="246"/>
      <c r="G210" s="306"/>
      <c r="H210" s="246"/>
      <c r="I210" s="246"/>
      <c r="J210" s="306"/>
      <c r="K210" s="246"/>
      <c r="L210" s="246"/>
      <c r="M210" s="306"/>
      <c r="N210" s="246"/>
      <c r="O210" s="246"/>
      <c r="P210" s="306"/>
      <c r="Q210" s="246"/>
      <c r="R210" s="246"/>
      <c r="S210" s="306"/>
      <c r="T210" s="246"/>
      <c r="U210" s="246"/>
      <c r="V210" s="306"/>
      <c r="W210" s="246"/>
      <c r="X210" s="246"/>
      <c r="Y210" s="306"/>
      <c r="Z210" s="246"/>
      <c r="AA210" s="246"/>
      <c r="AB210" s="306"/>
      <c r="AC210" s="246"/>
      <c r="AD210" s="246"/>
      <c r="AE210" s="306"/>
      <c r="AF210" s="246"/>
      <c r="AG210" s="246"/>
      <c r="AH210" s="306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</row>
    <row r="211" spans="1:52" ht="24" hidden="1" thickBot="1">
      <c r="A211" s="61"/>
      <c r="B211" s="245"/>
      <c r="C211" s="246"/>
      <c r="D211" s="246"/>
      <c r="E211" s="307" t="s">
        <v>100</v>
      </c>
      <c r="F211" s="308">
        <f>E202+F209</f>
        <v>101933</v>
      </c>
      <c r="G211" s="267"/>
      <c r="H211" s="307" t="s">
        <v>100</v>
      </c>
      <c r="I211" s="308">
        <f>H202+I209</f>
        <v>99204</v>
      </c>
      <c r="J211" s="267"/>
      <c r="K211" s="307" t="s">
        <v>100</v>
      </c>
      <c r="L211" s="308">
        <f>K202+L209</f>
        <v>96088</v>
      </c>
      <c r="M211" s="267"/>
      <c r="N211" s="307" t="s">
        <v>100</v>
      </c>
      <c r="O211" s="308">
        <f>N202+O209</f>
        <v>87922.999999999985</v>
      </c>
      <c r="P211" s="267"/>
      <c r="Q211" s="307" t="s">
        <v>100</v>
      </c>
      <c r="R211" s="308">
        <f>Q202+R209</f>
        <v>84748</v>
      </c>
      <c r="S211" s="267"/>
      <c r="T211" s="307" t="s">
        <v>100</v>
      </c>
      <c r="U211" s="308">
        <f>T202+U209</f>
        <v>75183.000000000029</v>
      </c>
      <c r="V211" s="267"/>
      <c r="W211" s="307" t="s">
        <v>100</v>
      </c>
      <c r="X211" s="308">
        <f>W202+X209</f>
        <v>70309.999999999985</v>
      </c>
      <c r="Y211" s="267"/>
      <c r="Z211" s="307" t="s">
        <v>100</v>
      </c>
      <c r="AA211" s="308">
        <f>Z202+AA209</f>
        <v>64803.999999999993</v>
      </c>
      <c r="AB211" s="267"/>
      <c r="AC211" s="307" t="s">
        <v>100</v>
      </c>
      <c r="AD211" s="308">
        <f>AC202+AD209</f>
        <v>61139.000000000007</v>
      </c>
      <c r="AE211" s="267"/>
      <c r="AF211" s="307" t="s">
        <v>100</v>
      </c>
      <c r="AG211" s="308">
        <f>AF202+AG209</f>
        <v>50440.999999999993</v>
      </c>
      <c r="AH211" s="267"/>
      <c r="AI211" s="69"/>
      <c r="AJ211" s="309"/>
      <c r="AK211" s="61"/>
      <c r="AL211" s="69"/>
      <c r="AM211" s="309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</row>
    <row r="212" spans="1:52" ht="16.5" hidden="1" thickBot="1">
      <c r="A212" s="61"/>
      <c r="B212" s="245"/>
      <c r="C212" s="307"/>
      <c r="D212" s="307"/>
      <c r="E212" s="310"/>
      <c r="F212" s="283"/>
      <c r="G212" s="294"/>
      <c r="H212" s="310"/>
      <c r="I212" s="283"/>
      <c r="J212" s="294"/>
      <c r="K212" s="310"/>
      <c r="L212" s="283"/>
      <c r="M212" s="294"/>
      <c r="N212" s="310"/>
      <c r="O212" s="283"/>
      <c r="P212" s="294"/>
      <c r="Q212" s="310"/>
      <c r="R212" s="283"/>
      <c r="S212" s="294"/>
      <c r="T212" s="310"/>
      <c r="U212" s="283"/>
      <c r="V212" s="294"/>
      <c r="W212" s="310"/>
      <c r="X212" s="283"/>
      <c r="Y212" s="294"/>
      <c r="Z212" s="310"/>
      <c r="AA212" s="283"/>
      <c r="AB212" s="294"/>
      <c r="AC212" s="310"/>
      <c r="AD212" s="283"/>
      <c r="AE212" s="294"/>
      <c r="AF212" s="310"/>
      <c r="AG212" s="283"/>
      <c r="AH212" s="294"/>
      <c r="AI212" s="290"/>
      <c r="AJ212" s="61"/>
      <c r="AK212" s="61"/>
      <c r="AL212" s="290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</row>
    <row r="213" spans="1:52" ht="16.5" hidden="1" thickBot="1">
      <c r="A213" s="61"/>
      <c r="B213" s="245"/>
      <c r="C213" s="307"/>
      <c r="D213" s="307"/>
      <c r="E213" s="246" t="s">
        <v>101</v>
      </c>
      <c r="F213" s="246"/>
      <c r="G213" s="294"/>
      <c r="H213" s="246" t="s">
        <v>101</v>
      </c>
      <c r="I213" s="246"/>
      <c r="J213" s="294"/>
      <c r="K213" s="246" t="s">
        <v>101</v>
      </c>
      <c r="L213" s="246"/>
      <c r="M213" s="294"/>
      <c r="N213" s="246" t="s">
        <v>101</v>
      </c>
      <c r="O213" s="246"/>
      <c r="P213" s="294"/>
      <c r="Q213" s="246" t="s">
        <v>101</v>
      </c>
      <c r="R213" s="246"/>
      <c r="S213" s="294"/>
      <c r="T213" s="246" t="s">
        <v>101</v>
      </c>
      <c r="U213" s="246"/>
      <c r="V213" s="294"/>
      <c r="W213" s="246" t="s">
        <v>101</v>
      </c>
      <c r="X213" s="246"/>
      <c r="Y213" s="294"/>
      <c r="Z213" s="246" t="s">
        <v>101</v>
      </c>
      <c r="AA213" s="246"/>
      <c r="AB213" s="294"/>
      <c r="AC213" s="246" t="s">
        <v>101</v>
      </c>
      <c r="AD213" s="246"/>
      <c r="AE213" s="294"/>
      <c r="AF213" s="246" t="s">
        <v>101</v>
      </c>
      <c r="AG213" s="246"/>
      <c r="AH213" s="294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</row>
    <row r="214" spans="1:52" ht="16.5" hidden="1" thickBot="1">
      <c r="A214" s="61"/>
      <c r="B214" s="245"/>
      <c r="C214" s="307"/>
      <c r="D214" s="307"/>
      <c r="E214" s="283">
        <f>E181+E182+E183+E184+E185+E186+E187+E190+E191+E192+F203+E194+( (E181+E182+E183+E184+E185+E186+E187+E190+E191+E192+E203+E194)*0.07)</f>
        <v>92625.139276070462</v>
      </c>
      <c r="F214" s="246" t="s">
        <v>102</v>
      </c>
      <c r="G214" s="294"/>
      <c r="H214" s="283">
        <f>H181+H182+H183+H184+H185+H186+H187+H190+H191+H192+I203+H194+( (H181+H182+H183+H184+H185+H186+H187+H190+H191+H192+H203+H194)*0.07)</f>
        <v>90144.990457519307</v>
      </c>
      <c r="I214" s="246" t="s">
        <v>102</v>
      </c>
      <c r="J214" s="294"/>
      <c r="K214" s="283">
        <f>K181+K182+K183+K184+K185+K186+K187+K190+K191+K192+L203+K194+( (K181+K182+K183+K184+K185+K186+K187+K190+K191+K192+K203+K194)*0.07)</f>
        <v>90144.990457519307</v>
      </c>
      <c r="L214" s="246" t="s">
        <v>102</v>
      </c>
      <c r="M214" s="294"/>
      <c r="N214" s="283">
        <f>N181+N182+N183+N184+N185+N186+N187+N190+N191+N192+O203+N194+( (N181+N182+N183+N184+N185+N186+N187+N190+N191+N192+N203+N194)*0.07)</f>
        <v>81800.395213545416</v>
      </c>
      <c r="O214" s="246" t="s">
        <v>102</v>
      </c>
      <c r="P214" s="294"/>
      <c r="Q214" s="283">
        <f>Q181+Q182+Q183+Q184+Q185+Q186+Q187+Q190+Q191+Q192+R203+Q194+( (Q181+Q182+Q183+Q184+Q185+Q186+Q187+Q190+Q191+Q192+Q203+Q194)*0.07)</f>
        <v>78555.224228699983</v>
      </c>
      <c r="R214" s="246" t="s">
        <v>102</v>
      </c>
      <c r="S214" s="294"/>
      <c r="T214" s="283">
        <f>T181+T182+T183+T184+T185+T186+T187+T190+T191+T192+U203+T194+( (T181+T182+T183+T184+T185+T186+T187+T190+T191+T192+T203+T194)*0.07)</f>
        <v>69283.412030060121</v>
      </c>
      <c r="U214" s="246" t="s">
        <v>102</v>
      </c>
      <c r="V214" s="294"/>
      <c r="W214" s="283">
        <f>W181+W182+W183+W184+W185+W186+W187+W190+W191+W192+X203+W194+( (W181+W182+W183+W184+W185+W186+W187+W190+W191+W192+W203+W194)*0.07)</f>
        <v>64573.345344041998</v>
      </c>
      <c r="X214" s="246" t="s">
        <v>102</v>
      </c>
      <c r="Y214" s="294"/>
      <c r="Z214" s="283">
        <f>Z181+Z182+Z184+Z185+Z186+Z187+Z190+Z191+Z192+AA203+Z194+( (Z181+Z182+Z184+Z185+Z186+Z187+Z190+Z191+Z192+Z203+Z194)*0.07)</f>
        <v>59937.452936543821</v>
      </c>
      <c r="AA214" s="246" t="s">
        <v>102</v>
      </c>
      <c r="AB214" s="294"/>
      <c r="AC214" s="283">
        <f>AC181+AC182+AC184+AC185+AC186+AC187+AC190+AC191+AC192+AD203+AC194+( (AC181+AC182+AC184+AC185+AC186+AC187+AC190+AC191+AC192+AC203+AC194)*0.07)</f>
        <v>56191.651871285299</v>
      </c>
      <c r="AD214" s="246" t="s">
        <v>102</v>
      </c>
      <c r="AE214" s="294"/>
      <c r="AF214" s="283">
        <f>AF181+AF182+AF184+AF185+AF186+AF187+AF190+AF191+AF192+AG203+AF194+( (AF181+AF182+AF184+AF185+AF186+AF187+AF190+AF191+AF192+AF203+AF194)*0.07)</f>
        <v>46358.924074981696</v>
      </c>
      <c r="AG214" s="246" t="s">
        <v>102</v>
      </c>
      <c r="AH214" s="294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</row>
    <row r="215" spans="1:52" ht="16.5" hidden="1" thickBot="1">
      <c r="A215" s="61"/>
      <c r="B215" s="245"/>
      <c r="C215" s="307"/>
      <c r="D215" s="307"/>
      <c r="E215" s="46">
        <f>totalremene22*1.07</f>
        <v>49604.04876023042</v>
      </c>
      <c r="F215" s="246" t="s">
        <v>103</v>
      </c>
      <c r="G215" s="294"/>
      <c r="H215" s="46">
        <f>totalremene22*1.07</f>
        <v>49604.04876023042</v>
      </c>
      <c r="I215" s="246" t="s">
        <v>103</v>
      </c>
      <c r="J215" s="294"/>
      <c r="K215" s="46">
        <f>totalremene22*1.07</f>
        <v>49604.04876023042</v>
      </c>
      <c r="L215" s="246" t="s">
        <v>103</v>
      </c>
      <c r="M215" s="294"/>
      <c r="N215" s="46">
        <f>totalremene22*1.07</f>
        <v>49604.04876023042</v>
      </c>
      <c r="O215" s="246" t="s">
        <v>103</v>
      </c>
      <c r="P215" s="294"/>
      <c r="Q215" s="46">
        <f>totalremene22*1.07</f>
        <v>49604.04876023042</v>
      </c>
      <c r="R215" s="246" t="s">
        <v>103</v>
      </c>
      <c r="S215" s="294"/>
      <c r="T215" s="46">
        <f>totalremene22*1.07</f>
        <v>49604.04876023042</v>
      </c>
      <c r="U215" s="246" t="s">
        <v>103</v>
      </c>
      <c r="V215" s="294"/>
      <c r="W215" s="46">
        <f>totalremene22*1.07</f>
        <v>49604.04876023042</v>
      </c>
      <c r="X215" s="246" t="s">
        <v>103</v>
      </c>
      <c r="Y215" s="294"/>
      <c r="Z215" s="46">
        <f>totalremene22*1.07</f>
        <v>49604.04876023042</v>
      </c>
      <c r="AA215" s="246" t="s">
        <v>103</v>
      </c>
      <c r="AB215" s="294"/>
      <c r="AC215" s="46">
        <f>totalremene22*1.07</f>
        <v>49604.04876023042</v>
      </c>
      <c r="AD215" s="246" t="s">
        <v>103</v>
      </c>
      <c r="AE215" s="294"/>
      <c r="AF215" s="46">
        <f>totalremene22*1.07</f>
        <v>49604.04876023042</v>
      </c>
      <c r="AG215" s="246" t="s">
        <v>103</v>
      </c>
      <c r="AH215" s="294"/>
      <c r="AI215" s="290"/>
      <c r="AJ215" s="61"/>
      <c r="AK215" s="61"/>
      <c r="AL215" s="290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</row>
    <row r="216" spans="1:52" ht="18.75" hidden="1" thickBot="1">
      <c r="A216" s="61"/>
      <c r="B216" s="245"/>
      <c r="C216" s="307"/>
      <c r="D216" s="307"/>
      <c r="E216" s="311" t="s">
        <v>104</v>
      </c>
      <c r="F216" s="312">
        <f>F211-I211</f>
        <v>2729</v>
      </c>
      <c r="G216" s="294"/>
      <c r="H216" s="311" t="s">
        <v>104</v>
      </c>
      <c r="I216" s="312">
        <f>I211-L211</f>
        <v>3116</v>
      </c>
      <c r="J216" s="294"/>
      <c r="K216" s="311" t="s">
        <v>104</v>
      </c>
      <c r="L216" s="312">
        <f>L211-O211</f>
        <v>8165.0000000000146</v>
      </c>
      <c r="M216" s="294"/>
      <c r="N216" s="311" t="s">
        <v>104</v>
      </c>
      <c r="O216" s="312">
        <f>O211-R211</f>
        <v>3174.9999999999854</v>
      </c>
      <c r="P216" s="294"/>
      <c r="Q216" s="311" t="s">
        <v>104</v>
      </c>
      <c r="R216" s="312">
        <f>R211-U211</f>
        <v>9564.9999999999709</v>
      </c>
      <c r="S216" s="294"/>
      <c r="T216" s="311" t="s">
        <v>104</v>
      </c>
      <c r="U216" s="312">
        <f>U211-X211</f>
        <v>4873.0000000000437</v>
      </c>
      <c r="V216" s="294"/>
      <c r="W216" s="311" t="s">
        <v>104</v>
      </c>
      <c r="X216" s="312">
        <f>X211-AA211</f>
        <v>5505.9999999999927</v>
      </c>
      <c r="Y216" s="294"/>
      <c r="Z216" s="311" t="s">
        <v>104</v>
      </c>
      <c r="AA216" s="312">
        <f>AA211-AD211</f>
        <v>3664.9999999999854</v>
      </c>
      <c r="AB216" s="294"/>
      <c r="AC216" s="311" t="s">
        <v>104</v>
      </c>
      <c r="AD216" s="312">
        <f>AD211-AG211</f>
        <v>10698.000000000015</v>
      </c>
      <c r="AE216" s="294"/>
      <c r="AF216" s="311"/>
      <c r="AG216" s="312"/>
      <c r="AH216" s="294"/>
      <c r="AI216" s="313"/>
      <c r="AJ216" s="314"/>
      <c r="AK216" s="61"/>
      <c r="AL216" s="313"/>
      <c r="AM216" s="314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</row>
    <row r="217" spans="1:52" ht="18.75" hidden="1" thickBot="1">
      <c r="A217" s="61"/>
      <c r="B217" s="246"/>
      <c r="C217" s="246"/>
      <c r="D217" s="246"/>
      <c r="E217" s="311" t="s">
        <v>105</v>
      </c>
      <c r="F217" s="580">
        <f>F216/I211</f>
        <v>2.7508971412443045E-2</v>
      </c>
      <c r="G217" s="267"/>
      <c r="H217" s="311" t="s">
        <v>105</v>
      </c>
      <c r="I217" s="580">
        <f>I216/L211</f>
        <v>3.2428607110149027E-2</v>
      </c>
      <c r="J217" s="267"/>
      <c r="K217" s="311" t="s">
        <v>105</v>
      </c>
      <c r="L217" s="580">
        <f>L216/O211</f>
        <v>9.286534808866867E-2</v>
      </c>
      <c r="M217" s="267"/>
      <c r="N217" s="311" t="s">
        <v>105</v>
      </c>
      <c r="O217" s="580">
        <f>O216/R211</f>
        <v>3.7464010950110746E-2</v>
      </c>
      <c r="P217" s="267"/>
      <c r="Q217" s="311" t="s">
        <v>105</v>
      </c>
      <c r="R217" s="580">
        <f>R216/U211</f>
        <v>0.12722290943431316</v>
      </c>
      <c r="S217" s="267"/>
      <c r="T217" s="311" t="s">
        <v>105</v>
      </c>
      <c r="U217" s="580">
        <f>U216/X211</f>
        <v>6.9307353150334872E-2</v>
      </c>
      <c r="V217" s="267"/>
      <c r="W217" s="311" t="s">
        <v>105</v>
      </c>
      <c r="X217" s="580">
        <f>X216/AA211</f>
        <v>8.4963891117832133E-2</v>
      </c>
      <c r="Y217" s="267"/>
      <c r="Z217" s="311" t="s">
        <v>105</v>
      </c>
      <c r="AA217" s="580">
        <f>AA216/AD211</f>
        <v>5.9945370385514729E-2</v>
      </c>
      <c r="AB217" s="267"/>
      <c r="AC217" s="311" t="s">
        <v>105</v>
      </c>
      <c r="AD217" s="580">
        <f>AD216/AG211</f>
        <v>0.21208937174124257</v>
      </c>
      <c r="AE217" s="267"/>
      <c r="AF217" s="311"/>
      <c r="AG217" s="315"/>
      <c r="AH217" s="267"/>
      <c r="AI217" s="313"/>
      <c r="AJ217" s="316"/>
      <c r="AK217" s="73"/>
      <c r="AL217" s="313"/>
      <c r="AM217" s="316"/>
      <c r="AN217" s="73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</row>
    <row r="218" spans="1:52" ht="16.5" hidden="1" thickBot="1">
      <c r="A218" s="61"/>
      <c r="B218" s="245"/>
      <c r="C218" s="307"/>
      <c r="D218" s="307"/>
      <c r="E218" s="246"/>
      <c r="F218" s="246"/>
      <c r="G218" s="294"/>
      <c r="H218" s="246"/>
      <c r="I218" s="246"/>
      <c r="J218" s="294"/>
      <c r="K218" s="246"/>
      <c r="L218" s="246"/>
      <c r="M218" s="294"/>
      <c r="N218" s="246"/>
      <c r="O218" s="246"/>
      <c r="P218" s="294"/>
      <c r="Q218" s="246"/>
      <c r="R218" s="246"/>
      <c r="S218" s="294"/>
      <c r="T218" s="246"/>
      <c r="U218" s="246"/>
      <c r="V218" s="294"/>
      <c r="W218" s="246"/>
      <c r="X218" s="246"/>
      <c r="Y218" s="294"/>
      <c r="Z218" s="246"/>
      <c r="AA218" s="246"/>
      <c r="AB218" s="294"/>
      <c r="AC218" s="246"/>
      <c r="AD218" s="246"/>
      <c r="AE218" s="294"/>
      <c r="AF218" s="246"/>
      <c r="AG218" s="246"/>
      <c r="AH218" s="294"/>
      <c r="AI218" s="61"/>
      <c r="AJ218" s="61"/>
      <c r="AK218" s="290"/>
      <c r="AL218" s="61"/>
      <c r="AM218" s="61"/>
      <c r="AN218" s="290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</row>
    <row r="219" spans="1:52" ht="18.75" hidden="1" thickBot="1">
      <c r="A219" s="61"/>
      <c r="B219" s="245"/>
      <c r="C219" s="307"/>
      <c r="D219" s="307"/>
      <c r="E219" s="317" t="s">
        <v>496</v>
      </c>
      <c r="F219" s="318">
        <f>F211-AG211</f>
        <v>51492.000000000007</v>
      </c>
      <c r="G219" s="294"/>
      <c r="H219" s="317" t="s">
        <v>496</v>
      </c>
      <c r="I219" s="318">
        <f>I211-AG211</f>
        <v>48763.000000000007</v>
      </c>
      <c r="J219" s="294"/>
      <c r="K219" s="317" t="s">
        <v>496</v>
      </c>
      <c r="L219" s="318">
        <f>L211-AG211</f>
        <v>45647.000000000007</v>
      </c>
      <c r="M219" s="294"/>
      <c r="N219" s="317" t="s">
        <v>496</v>
      </c>
      <c r="O219" s="318">
        <f>O211-AG211</f>
        <v>37481.999999999993</v>
      </c>
      <c r="P219" s="294"/>
      <c r="Q219" s="317" t="s">
        <v>496</v>
      </c>
      <c r="R219" s="318">
        <f>R211-AG211</f>
        <v>34307.000000000007</v>
      </c>
      <c r="S219" s="294"/>
      <c r="T219" s="317" t="s">
        <v>496</v>
      </c>
      <c r="U219" s="318">
        <f>U211-AG211</f>
        <v>24742.000000000036</v>
      </c>
      <c r="V219" s="294"/>
      <c r="W219" s="317" t="s">
        <v>496</v>
      </c>
      <c r="X219" s="318">
        <f>X211-AG211</f>
        <v>19868.999999999993</v>
      </c>
      <c r="Y219" s="294"/>
      <c r="Z219" s="317" t="s">
        <v>496</v>
      </c>
      <c r="AA219" s="318">
        <f>AA211-AG211</f>
        <v>14363</v>
      </c>
      <c r="AB219" s="294"/>
      <c r="AC219" s="317" t="s">
        <v>496</v>
      </c>
      <c r="AD219" s="318">
        <f>AD211-AG211</f>
        <v>10698.000000000015</v>
      </c>
      <c r="AE219" s="294"/>
      <c r="AF219" s="317"/>
      <c r="AG219" s="318"/>
      <c r="AH219" s="294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</row>
    <row r="220" spans="1:52" ht="18.75" hidden="1" thickBot="1">
      <c r="A220" s="61"/>
      <c r="B220" s="245"/>
      <c r="C220" s="307"/>
      <c r="D220" s="307"/>
      <c r="E220" s="317" t="s">
        <v>497</v>
      </c>
      <c r="F220" s="579">
        <f>F219/AG211</f>
        <v>1.0208362244999112</v>
      </c>
      <c r="G220" s="294"/>
      <c r="H220" s="317" t="s">
        <v>497</v>
      </c>
      <c r="I220" s="579">
        <f>I219/AG211</f>
        <v>0.96673341131222645</v>
      </c>
      <c r="J220" s="294"/>
      <c r="K220" s="317" t="s">
        <v>497</v>
      </c>
      <c r="L220" s="579">
        <f>L219/AG211</f>
        <v>0.90495826807557367</v>
      </c>
      <c r="M220" s="294"/>
      <c r="N220" s="317" t="s">
        <v>497</v>
      </c>
      <c r="O220" s="579">
        <f>O219/AG211</f>
        <v>0.74308598164191819</v>
      </c>
      <c r="P220" s="294"/>
      <c r="Q220" s="317" t="s">
        <v>497</v>
      </c>
      <c r="R220" s="579">
        <f>R219/AG211</f>
        <v>0.68014115501278749</v>
      </c>
      <c r="S220" s="294"/>
      <c r="T220" s="317" t="s">
        <v>497</v>
      </c>
      <c r="U220" s="579">
        <f>U219/AG211</f>
        <v>0.490513669435579</v>
      </c>
      <c r="V220" s="294"/>
      <c r="W220" s="317" t="s">
        <v>497</v>
      </c>
      <c r="X220" s="579">
        <f>X219/AG211</f>
        <v>0.39390575127376531</v>
      </c>
      <c r="Y220" s="294"/>
      <c r="Z220" s="317" t="s">
        <v>497</v>
      </c>
      <c r="AA220" s="579">
        <f>AA219/AG211</f>
        <v>0.28474851807061718</v>
      </c>
      <c r="AB220" s="294"/>
      <c r="AC220" s="317" t="s">
        <v>497</v>
      </c>
      <c r="AD220" s="579">
        <f>AD219/AG211</f>
        <v>0.21208937174124257</v>
      </c>
      <c r="AE220" s="294"/>
      <c r="AF220" s="317"/>
      <c r="AG220" s="319"/>
      <c r="AH220" s="294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</row>
    <row r="221" spans="1:52" ht="16.5" hidden="1" thickBot="1">
      <c r="A221" s="61"/>
      <c r="B221" s="245"/>
      <c r="C221" s="307"/>
      <c r="D221" s="307"/>
      <c r="E221" s="246"/>
      <c r="F221" s="246"/>
      <c r="G221" s="294"/>
      <c r="H221" s="246"/>
      <c r="I221" s="246"/>
      <c r="J221" s="294"/>
      <c r="K221" s="246"/>
      <c r="L221" s="246"/>
      <c r="M221" s="294"/>
      <c r="N221" s="246"/>
      <c r="O221" s="246"/>
      <c r="P221" s="294"/>
      <c r="Q221" s="246"/>
      <c r="R221" s="246"/>
      <c r="S221" s="294"/>
      <c r="T221" s="246"/>
      <c r="U221" s="246"/>
      <c r="V221" s="294"/>
      <c r="W221" s="246"/>
      <c r="X221" s="246"/>
      <c r="Y221" s="294"/>
      <c r="Z221" s="246"/>
      <c r="AA221" s="246"/>
      <c r="AB221" s="294"/>
      <c r="AC221" s="246"/>
      <c r="AD221" s="246"/>
      <c r="AE221" s="294"/>
      <c r="AF221" s="246"/>
      <c r="AG221" s="246"/>
      <c r="AH221" s="294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</row>
    <row r="222" spans="1:52" ht="18.75" hidden="1" thickBot="1">
      <c r="A222" s="61"/>
      <c r="B222" s="245"/>
      <c r="C222" s="307"/>
      <c r="D222" s="307"/>
      <c r="E222" s="228" t="s">
        <v>530</v>
      </c>
      <c r="F222" s="318">
        <f>(F211-E198-E200-E201)-(AG211-AF198-AF200-AF201)</f>
        <v>44472.000000000007</v>
      </c>
      <c r="G222" s="294"/>
      <c r="H222" s="228" t="s">
        <v>530</v>
      </c>
      <c r="I222" s="318">
        <f>(I211-H198-H200-H201)-(AG211-AF198-AF200-AF201)</f>
        <v>42843.000000000007</v>
      </c>
      <c r="J222" s="294"/>
      <c r="K222" s="228" t="s">
        <v>530</v>
      </c>
      <c r="L222" s="318">
        <f>(L211-K198-K200)-(AG211-AF198-AF200)</f>
        <v>42843.000000000007</v>
      </c>
      <c r="M222" s="294"/>
      <c r="N222" s="228" t="s">
        <v>530</v>
      </c>
      <c r="O222" s="318">
        <f>(O211-N198-N200)-(AG211-AF198-AF200)</f>
        <v>34677.999999999993</v>
      </c>
      <c r="P222" s="294"/>
      <c r="Q222" s="228" t="s">
        <v>530</v>
      </c>
      <c r="R222" s="318">
        <f>(R211-Q198-Q200)-(AG211-AF198-AF200)</f>
        <v>31503.000000000007</v>
      </c>
      <c r="S222" s="294"/>
      <c r="T222" s="228" t="s">
        <v>530</v>
      </c>
      <c r="U222" s="318">
        <f>(U211-T198-T200)-(AG211-AF198-AF200)</f>
        <v>22431.000000000036</v>
      </c>
      <c r="V222" s="294"/>
      <c r="W222" s="228" t="s">
        <v>530</v>
      </c>
      <c r="X222" s="318">
        <f>(X211-W198-W200)-(AG211-AF198-AF200)</f>
        <v>17557.999999999993</v>
      </c>
      <c r="Y222" s="294"/>
      <c r="Z222" s="228" t="s">
        <v>530</v>
      </c>
      <c r="AA222" s="318">
        <f>(AA211-Z198-Z200)-(AG211-AF198-AF200)</f>
        <v>13286</v>
      </c>
      <c r="AB222" s="294"/>
      <c r="AC222" s="228" t="s">
        <v>530</v>
      </c>
      <c r="AD222" s="318">
        <f>(AD211-AC198-AC200)-(AG211-AF198-AF200)</f>
        <v>9621.0000000000146</v>
      </c>
      <c r="AE222" s="294"/>
      <c r="AF222" s="320"/>
      <c r="AG222" s="321"/>
      <c r="AH222" s="294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</row>
    <row r="223" spans="1:52" ht="18.75" hidden="1" thickBot="1">
      <c r="A223" s="61"/>
      <c r="B223" s="245"/>
      <c r="C223" s="307"/>
      <c r="D223" s="307"/>
      <c r="E223" s="230" t="s">
        <v>531</v>
      </c>
      <c r="F223" s="579">
        <f>F222/(AG211-AF198-AF200-AF201)</f>
        <v>0.98040166662992467</v>
      </c>
      <c r="G223" s="294"/>
      <c r="H223" s="230" t="s">
        <v>531</v>
      </c>
      <c r="I223" s="579">
        <f>I222/(AG211-AF198-AF200)</f>
        <v>0.94448975992592787</v>
      </c>
      <c r="J223" s="294"/>
      <c r="K223" s="230" t="s">
        <v>531</v>
      </c>
      <c r="L223" s="579">
        <f>L222/(AG211-AF198-AF200)</f>
        <v>0.94448975992592787</v>
      </c>
      <c r="M223" s="294"/>
      <c r="N223" s="230" t="s">
        <v>531</v>
      </c>
      <c r="O223" s="579">
        <f>O222/(AG211-AF198-AF200)</f>
        <v>0.76448931901854011</v>
      </c>
      <c r="P223" s="294"/>
      <c r="Q223" s="230" t="s">
        <v>531</v>
      </c>
      <c r="R223" s="579">
        <f>R222/(AG211-AF198-AF200)</f>
        <v>0.69449527126827038</v>
      </c>
      <c r="S223" s="294"/>
      <c r="T223" s="230" t="s">
        <v>531</v>
      </c>
      <c r="U223" s="579">
        <f>U222/(AG211-AF198-AF200)</f>
        <v>0.49449968034214503</v>
      </c>
      <c r="V223" s="294"/>
      <c r="W223" s="230" t="s">
        <v>531</v>
      </c>
      <c r="X223" s="579">
        <f>X222/(AG211-AF198-AF200)</f>
        <v>0.38707259540133587</v>
      </c>
      <c r="Y223" s="294"/>
      <c r="Z223" s="230" t="s">
        <v>531</v>
      </c>
      <c r="AA223" s="579">
        <f>AA222/(AG211-AF198-AF200)</f>
        <v>0.29289477745199627</v>
      </c>
      <c r="AB223" s="294"/>
      <c r="AC223" s="230" t="s">
        <v>531</v>
      </c>
      <c r="AD223" s="579">
        <f>AD222/(AG211-AF198-AF200)</f>
        <v>0.21209849871034625</v>
      </c>
      <c r="AE223" s="294"/>
      <c r="AF223" s="320"/>
      <c r="AG223" s="319"/>
      <c r="AH223" s="294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</row>
    <row r="224" spans="1:52" ht="16.5" hidden="1" thickBot="1">
      <c r="A224" s="61"/>
      <c r="B224" s="245"/>
      <c r="C224" s="307"/>
      <c r="D224" s="307"/>
      <c r="E224" s="246"/>
      <c r="F224" s="246"/>
      <c r="G224" s="294"/>
      <c r="H224" s="246"/>
      <c r="I224" s="246"/>
      <c r="J224" s="294"/>
      <c r="K224" s="246"/>
      <c r="L224" s="246"/>
      <c r="M224" s="294"/>
      <c r="N224" s="246"/>
      <c r="O224" s="246"/>
      <c r="P224" s="294"/>
      <c r="Q224" s="246"/>
      <c r="R224" s="246"/>
      <c r="S224" s="294"/>
      <c r="T224" s="246"/>
      <c r="U224" s="246"/>
      <c r="V224" s="294"/>
      <c r="W224" s="246"/>
      <c r="X224" s="246"/>
      <c r="Y224" s="294"/>
      <c r="Z224" s="246"/>
      <c r="AA224" s="246"/>
      <c r="AB224" s="294"/>
      <c r="AC224" s="246"/>
      <c r="AD224" s="246"/>
      <c r="AE224" s="294"/>
      <c r="AF224" s="246"/>
      <c r="AG224" s="246"/>
      <c r="AH224" s="294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</row>
    <row r="225" spans="1:52" ht="16.5" hidden="1" thickBot="1">
      <c r="A225" s="61"/>
      <c r="B225" s="245"/>
      <c r="C225" s="307"/>
      <c r="D225" s="307"/>
      <c r="E225" s="307" t="s">
        <v>106</v>
      </c>
      <c r="F225" s="310"/>
      <c r="G225" s="294"/>
      <c r="H225" s="307" t="s">
        <v>106</v>
      </c>
      <c r="I225" s="310"/>
      <c r="J225" s="294"/>
      <c r="K225" s="307" t="s">
        <v>106</v>
      </c>
      <c r="L225" s="310"/>
      <c r="M225" s="294"/>
      <c r="N225" s="307" t="s">
        <v>106</v>
      </c>
      <c r="O225" s="310"/>
      <c r="P225" s="294"/>
      <c r="Q225" s="307" t="s">
        <v>106</v>
      </c>
      <c r="R225" s="310"/>
      <c r="S225" s="294"/>
      <c r="T225" s="307" t="s">
        <v>106</v>
      </c>
      <c r="U225" s="310"/>
      <c r="V225" s="294"/>
      <c r="W225" s="307" t="s">
        <v>106</v>
      </c>
      <c r="X225" s="310"/>
      <c r="Y225" s="294"/>
      <c r="Z225" s="307" t="s">
        <v>106</v>
      </c>
      <c r="AA225" s="310"/>
      <c r="AB225" s="294"/>
      <c r="AC225" s="307" t="s">
        <v>106</v>
      </c>
      <c r="AD225" s="310"/>
      <c r="AE225" s="294"/>
      <c r="AF225" s="307" t="s">
        <v>106</v>
      </c>
      <c r="AG225" s="310"/>
      <c r="AH225" s="294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</row>
    <row r="226" spans="1:52" ht="16.5" hidden="1" thickBot="1">
      <c r="A226" s="61"/>
      <c r="B226" s="245"/>
      <c r="C226" s="307"/>
      <c r="D226" s="307"/>
      <c r="E226" s="243" t="s">
        <v>107</v>
      </c>
      <c r="F226" s="322">
        <f>(E181+E182+E183+E184+E185+E186+E187+E188+E189+E190+E191+E192+E193+E194)*0.5</f>
        <v>55452.469135802472</v>
      </c>
      <c r="G226" s="294"/>
      <c r="H226" s="243" t="s">
        <v>107</v>
      </c>
      <c r="I226" s="322">
        <f>(H181+H182+H183+H184+H185+H186+H187+H188+H189+H190+H191+H192+H193+H194)*0.5</f>
        <v>54446.91358024691</v>
      </c>
      <c r="J226" s="294"/>
      <c r="K226" s="243" t="s">
        <v>107</v>
      </c>
      <c r="L226" s="322">
        <f>(K181+K182+K183+K184+K185+K186+K187+K188+K189+K190+K191+K192+K193+K194)*0.5</f>
        <v>54446.91358024691</v>
      </c>
      <c r="M226" s="294"/>
      <c r="N226" s="243" t="s">
        <v>107</v>
      </c>
      <c r="O226" s="322">
        <f>(N181+N182+N184+N185+N186+N187+N188+N189+N190+N191+N192+N193+N194)*0.5</f>
        <v>49406.790123456783</v>
      </c>
      <c r="P226" s="294"/>
      <c r="Q226" s="243" t="s">
        <v>107</v>
      </c>
      <c r="R226" s="322">
        <f>(Q181+Q182+Q184+Q185+Q186+Q187+Q188+Q189+Q190+Q191+Q192+Q193+Q194)*0.5</f>
        <v>47446.91358024691</v>
      </c>
      <c r="S226" s="294"/>
      <c r="T226" s="243" t="s">
        <v>107</v>
      </c>
      <c r="U226" s="322">
        <f>(T181+T182+T184+T185+T186+T187+T188+T189+T190+T191+T192+T193+T194)*0.5</f>
        <v>41846.913580246925</v>
      </c>
      <c r="V226" s="294"/>
      <c r="W226" s="243" t="s">
        <v>107</v>
      </c>
      <c r="X226" s="322">
        <f>(W181+W182+W184+W185+W186+W187+W188+W189+W190+W191+W192+W193+W194)*0.5</f>
        <v>38838.888888888883</v>
      </c>
      <c r="Y226" s="294"/>
      <c r="Z226" s="243" t="s">
        <v>107</v>
      </c>
      <c r="AA226" s="322">
        <f>(Z181+Z182+Z184+Z185+Z186+Z187+Z188+Z189+Z190+Z191+Z192+Z193+Z194)*0.5</f>
        <v>36201.851851851847</v>
      </c>
      <c r="AB226" s="294"/>
      <c r="AC226" s="243" t="s">
        <v>107</v>
      </c>
      <c r="AD226" s="322">
        <f>(AC181+AC182+AC184+AC185+AC186+AC187+AC188+AC189+AC190+AC191+AC192+AC193+AC194)*0.5</f>
        <v>33939.506172839509</v>
      </c>
      <c r="AE226" s="294"/>
      <c r="AF226" s="243" t="s">
        <v>107</v>
      </c>
      <c r="AG226" s="322">
        <f>(AF181+AF182+AF184+AF185+AF186+AF187+AF188+AF189+AF190+AF191+AF192+AF193+AF194)*0.5</f>
        <v>28000.617283950614</v>
      </c>
      <c r="AH226" s="294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</row>
    <row r="227" spans="1:52" ht="16.5" hidden="1" thickBot="1">
      <c r="A227" s="61"/>
      <c r="B227" s="245"/>
      <c r="C227" s="307"/>
      <c r="D227" s="307"/>
      <c r="E227" s="243" t="s">
        <v>108</v>
      </c>
      <c r="F227" s="323"/>
      <c r="G227" s="294"/>
      <c r="H227" s="243" t="s">
        <v>108</v>
      </c>
      <c r="I227" s="323"/>
      <c r="J227" s="294"/>
      <c r="K227" s="243" t="s">
        <v>108</v>
      </c>
      <c r="L227" s="323"/>
      <c r="M227" s="294"/>
      <c r="N227" s="243" t="s">
        <v>108</v>
      </c>
      <c r="O227" s="323"/>
      <c r="P227" s="294"/>
      <c r="Q227" s="243" t="s">
        <v>108</v>
      </c>
      <c r="R227" s="323"/>
      <c r="S227" s="294"/>
      <c r="T227" s="243" t="s">
        <v>108</v>
      </c>
      <c r="U227" s="323"/>
      <c r="V227" s="294"/>
      <c r="W227" s="243" t="s">
        <v>108</v>
      </c>
      <c r="X227" s="323"/>
      <c r="Y227" s="294"/>
      <c r="Z227" s="243" t="s">
        <v>108</v>
      </c>
      <c r="AA227" s="323"/>
      <c r="AB227" s="294"/>
      <c r="AC227" s="243" t="s">
        <v>108</v>
      </c>
      <c r="AD227" s="323"/>
      <c r="AE227" s="294"/>
      <c r="AF227" s="243" t="s">
        <v>108</v>
      </c>
      <c r="AG227" s="323"/>
      <c r="AH227" s="294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</row>
    <row r="228" spans="1:52" ht="16.5" hidden="1" thickBot="1">
      <c r="A228" s="61"/>
      <c r="B228" s="245"/>
      <c r="C228" s="307"/>
      <c r="D228" s="307"/>
      <c r="E228" s="246" t="s">
        <v>109</v>
      </c>
      <c r="F228" s="246">
        <f>F226*0.804</f>
        <v>44583.785185185188</v>
      </c>
      <c r="G228" s="294"/>
      <c r="H228" s="246" t="s">
        <v>109</v>
      </c>
      <c r="I228" s="246">
        <f>I226*0.804</f>
        <v>43775.318518518521</v>
      </c>
      <c r="J228" s="294"/>
      <c r="K228" s="246" t="s">
        <v>109</v>
      </c>
      <c r="L228" s="246">
        <f>L226*0.804</f>
        <v>43775.318518518521</v>
      </c>
      <c r="M228" s="294"/>
      <c r="N228" s="246" t="s">
        <v>109</v>
      </c>
      <c r="O228" s="246">
        <f>O226*0.804</f>
        <v>39723.059259259258</v>
      </c>
      <c r="P228" s="294"/>
      <c r="Q228" s="246" t="s">
        <v>109</v>
      </c>
      <c r="R228" s="246">
        <f>R226*0.804</f>
        <v>38147.318518518521</v>
      </c>
      <c r="S228" s="294"/>
      <c r="T228" s="246" t="s">
        <v>109</v>
      </c>
      <c r="U228" s="246">
        <f>U226*0.804</f>
        <v>33644.918518518527</v>
      </c>
      <c r="V228" s="294"/>
      <c r="W228" s="246" t="s">
        <v>109</v>
      </c>
      <c r="X228" s="246">
        <f>X226*0.804</f>
        <v>31226.466666666664</v>
      </c>
      <c r="Y228" s="294"/>
      <c r="Z228" s="246" t="s">
        <v>109</v>
      </c>
      <c r="AA228" s="246">
        <f>AA226*0.804</f>
        <v>29106.288888888888</v>
      </c>
      <c r="AB228" s="294"/>
      <c r="AC228" s="246" t="s">
        <v>109</v>
      </c>
      <c r="AD228" s="246">
        <f>AD226*0.804</f>
        <v>27287.362962962965</v>
      </c>
      <c r="AE228" s="294"/>
      <c r="AF228" s="246" t="s">
        <v>109</v>
      </c>
      <c r="AG228" s="246">
        <f>AG226*0.804</f>
        <v>22512.496296296296</v>
      </c>
      <c r="AH228" s="294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</row>
    <row r="229" spans="1:52" ht="16.5" hidden="1" thickBot="1">
      <c r="A229" s="61"/>
      <c r="B229" s="245"/>
      <c r="C229" s="307"/>
      <c r="D229" s="307"/>
      <c r="E229" s="243" t="s">
        <v>110</v>
      </c>
      <c r="F229" s="324"/>
      <c r="G229" s="294"/>
      <c r="H229" s="243" t="s">
        <v>110</v>
      </c>
      <c r="I229" s="324"/>
      <c r="J229" s="294"/>
      <c r="K229" s="243" t="s">
        <v>110</v>
      </c>
      <c r="L229" s="324"/>
      <c r="M229" s="294"/>
      <c r="N229" s="243" t="s">
        <v>110</v>
      </c>
      <c r="O229" s="324"/>
      <c r="P229" s="294"/>
      <c r="Q229" s="243" t="s">
        <v>110</v>
      </c>
      <c r="R229" s="324"/>
      <c r="S229" s="294"/>
      <c r="T229" s="243" t="s">
        <v>110</v>
      </c>
      <c r="U229" s="324"/>
      <c r="V229" s="294"/>
      <c r="W229" s="243" t="s">
        <v>110</v>
      </c>
      <c r="X229" s="324"/>
      <c r="Y229" s="294"/>
      <c r="Z229" s="243" t="s">
        <v>110</v>
      </c>
      <c r="AA229" s="324"/>
      <c r="AB229" s="294"/>
      <c r="AC229" s="243" t="s">
        <v>110</v>
      </c>
      <c r="AD229" s="324"/>
      <c r="AE229" s="294"/>
      <c r="AF229" s="243" t="s">
        <v>110</v>
      </c>
      <c r="AG229" s="324"/>
      <c r="AH229" s="294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</row>
    <row r="230" spans="1:52" ht="16.5" hidden="1" thickBot="1">
      <c r="A230" s="61"/>
      <c r="B230" s="245"/>
      <c r="C230" s="307"/>
      <c r="D230" s="307"/>
      <c r="E230" s="325">
        <v>502</v>
      </c>
      <c r="F230" s="326">
        <f>-(totalremoctavoaum22+F226+E193*1.07)*0.16</f>
        <v>-26220.361374217002</v>
      </c>
      <c r="G230" s="294"/>
      <c r="H230" s="325">
        <v>502</v>
      </c>
      <c r="I230" s="326">
        <f>-(totalremoctavoaum22+I226+H193*1.07)*0.16</f>
        <v>-26134.518518518518</v>
      </c>
      <c r="J230" s="294"/>
      <c r="K230" s="325">
        <v>502</v>
      </c>
      <c r="L230" s="326">
        <f>-(totalremoctavoaum22+L226+K193*1.07)*0.16</f>
        <v>-26134.518518518518</v>
      </c>
      <c r="M230" s="294"/>
      <c r="N230" s="325">
        <v>502</v>
      </c>
      <c r="O230" s="326">
        <f>-(totalremseptimoaum22+O226+N193*1.07)*0.16</f>
        <v>-23715.259259259259</v>
      </c>
      <c r="P230" s="294"/>
      <c r="Q230" s="325">
        <v>502</v>
      </c>
      <c r="R230" s="326">
        <f>-(totalremsextoaum22+R226+Q193*1.07)*0.16</f>
        <v>-22774.518518518518</v>
      </c>
      <c r="S230" s="294"/>
      <c r="T230" s="325">
        <v>502</v>
      </c>
      <c r="U230" s="326">
        <f>-(totalremquintoaum22+U226+T193*1.07)*0.16</f>
        <v>-20086.518518518518</v>
      </c>
      <c r="V230" s="294"/>
      <c r="W230" s="325">
        <v>502</v>
      </c>
      <c r="X230" s="326">
        <f>-(totalremterceraum22+X226+W193*1.07)*0.16</f>
        <v>-18642.666666666664</v>
      </c>
      <c r="Y230" s="294"/>
      <c r="Z230" s="325">
        <v>502</v>
      </c>
      <c r="AA230" s="326">
        <f>-(totalremsegundoaum22+AA226+Z193*1.07)*0.16</f>
        <v>-17376.888888888887</v>
      </c>
      <c r="AB230" s="294"/>
      <c r="AC230" s="325">
        <v>502</v>
      </c>
      <c r="AD230" s="326">
        <f>-(totalremprimeraum22+AD226+AC193*1.07)*0.16</f>
        <v>-16290.962962962962</v>
      </c>
      <c r="AE230" s="294"/>
      <c r="AF230" s="325">
        <v>502</v>
      </c>
      <c r="AG230" s="326">
        <f>-(totalremene22+AG226+AF193*1.07)*0.16</f>
        <v>-13440.296296296297</v>
      </c>
      <c r="AH230" s="294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</row>
    <row r="231" spans="1:52" ht="16.5" hidden="1" thickBot="1">
      <c r="A231" s="61"/>
      <c r="B231" s="245"/>
      <c r="C231" s="307"/>
      <c r="D231" s="307"/>
      <c r="E231" s="325">
        <v>505</v>
      </c>
      <c r="F231" s="326">
        <f>-(totalremoctavoaum22+F226+E193*1.07)*0.03</f>
        <v>-4916.3177576656881</v>
      </c>
      <c r="G231" s="294"/>
      <c r="H231" s="325">
        <v>505</v>
      </c>
      <c r="I231" s="326">
        <f>-(totalremoctavoaum22+I226+H193*1.07)*0.03</f>
        <v>-4900.2222222222217</v>
      </c>
      <c r="J231" s="294"/>
      <c r="K231" s="325">
        <v>505</v>
      </c>
      <c r="L231" s="326">
        <f>-(totalremoctavoaum22+L226+K193*1.07)*0.03</f>
        <v>-4900.2222222222217</v>
      </c>
      <c r="M231" s="294"/>
      <c r="N231" s="325">
        <v>505</v>
      </c>
      <c r="O231" s="326">
        <f>-(totalremseptimoaum22+O226+N193*1.07)*0.03</f>
        <v>-4446.6111111111104</v>
      </c>
      <c r="P231" s="294"/>
      <c r="Q231" s="325">
        <v>505</v>
      </c>
      <c r="R231" s="326">
        <f>-(totalremsextoaum22+R226+Q193*1.07)*0.03</f>
        <v>-4270.2222222222217</v>
      </c>
      <c r="S231" s="294"/>
      <c r="T231" s="325">
        <v>505</v>
      </c>
      <c r="U231" s="326">
        <f>-(totalremquintoaum22+U226+T193*1.07)*0.03</f>
        <v>-3766.2222222222222</v>
      </c>
      <c r="V231" s="294"/>
      <c r="W231" s="325">
        <v>505</v>
      </c>
      <c r="X231" s="326">
        <f>-(totalremterceraum22+X226+W193*1.07)*0.03</f>
        <v>-3495.4999999999995</v>
      </c>
      <c r="Y231" s="294"/>
      <c r="Z231" s="325">
        <v>505</v>
      </c>
      <c r="AA231" s="326">
        <f>-(totalremsegundoaum22+AA226+Z193*1.07)*0.03</f>
        <v>-3258.1666666666665</v>
      </c>
      <c r="AB231" s="294"/>
      <c r="AC231" s="325">
        <v>505</v>
      </c>
      <c r="AD231" s="326">
        <f>-(totalremprimeraum22+AD226+AC193*1.07)*0.03</f>
        <v>-3054.5555555555552</v>
      </c>
      <c r="AE231" s="294"/>
      <c r="AF231" s="325">
        <v>505</v>
      </c>
      <c r="AG231" s="326">
        <f>-(totalremene22+AG226+AF193*1.07)*0.03</f>
        <v>-2520.0555555555557</v>
      </c>
      <c r="AH231" s="294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</row>
    <row r="232" spans="1:52" ht="16.5" hidden="1" thickBot="1">
      <c r="A232" s="61"/>
      <c r="B232" s="245"/>
      <c r="C232" s="307"/>
      <c r="D232" s="307"/>
      <c r="E232" s="327"/>
      <c r="F232" s="327"/>
      <c r="G232" s="294"/>
      <c r="H232" s="327"/>
      <c r="I232" s="327"/>
      <c r="J232" s="294"/>
      <c r="K232" s="327"/>
      <c r="L232" s="327"/>
      <c r="M232" s="294"/>
      <c r="N232" s="327"/>
      <c r="O232" s="327"/>
      <c r="P232" s="294"/>
      <c r="Q232" s="327"/>
      <c r="R232" s="327"/>
      <c r="S232" s="294"/>
      <c r="T232" s="327"/>
      <c r="U232" s="327"/>
      <c r="V232" s="294"/>
      <c r="W232" s="327"/>
      <c r="X232" s="327"/>
      <c r="Y232" s="294"/>
      <c r="Z232" s="327"/>
      <c r="AA232" s="327"/>
      <c r="AB232" s="294"/>
      <c r="AC232" s="327"/>
      <c r="AD232" s="327"/>
      <c r="AE232" s="294"/>
      <c r="AF232" s="327"/>
      <c r="AG232" s="327"/>
      <c r="AH232" s="294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</row>
    <row r="233" spans="1:52" ht="18.75" hidden="1" thickBot="1">
      <c r="A233" s="61"/>
      <c r="B233" s="245"/>
      <c r="C233" s="307"/>
      <c r="D233" s="307"/>
      <c r="E233" s="328" t="s">
        <v>111</v>
      </c>
      <c r="F233" s="324"/>
      <c r="G233" s="294"/>
      <c r="H233" s="328" t="s">
        <v>111</v>
      </c>
      <c r="I233" s="324"/>
      <c r="J233" s="294"/>
      <c r="K233" s="328" t="s">
        <v>111</v>
      </c>
      <c r="L233" s="324"/>
      <c r="M233" s="294"/>
      <c r="N233" s="328" t="s">
        <v>111</v>
      </c>
      <c r="O233" s="324"/>
      <c r="P233" s="294"/>
      <c r="Q233" s="328" t="s">
        <v>111</v>
      </c>
      <c r="R233" s="324"/>
      <c r="S233" s="294"/>
      <c r="T233" s="328" t="s">
        <v>111</v>
      </c>
      <c r="U233" s="324"/>
      <c r="V233" s="294"/>
      <c r="W233" s="328" t="s">
        <v>111</v>
      </c>
      <c r="X233" s="324"/>
      <c r="Y233" s="294"/>
      <c r="Z233" s="328" t="s">
        <v>111</v>
      </c>
      <c r="AA233" s="324"/>
      <c r="AB233" s="294"/>
      <c r="AC233" s="328" t="s">
        <v>111</v>
      </c>
      <c r="AD233" s="324"/>
      <c r="AE233" s="294"/>
      <c r="AF233" s="328" t="s">
        <v>111</v>
      </c>
      <c r="AG233" s="324"/>
      <c r="AH233" s="294"/>
      <c r="AI233" s="61"/>
      <c r="AJ233" s="329"/>
      <c r="AK233" s="61"/>
      <c r="AL233" s="61"/>
      <c r="AM233" s="329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</row>
    <row r="234" spans="1:52" ht="18.75" hidden="1" thickBot="1">
      <c r="A234" s="61"/>
      <c r="B234" s="245"/>
      <c r="C234" s="307"/>
      <c r="D234" s="307"/>
      <c r="E234" s="328"/>
      <c r="F234" s="330">
        <f>E202+F226+F227+F230+F231</f>
        <v>147320.72827552474</v>
      </c>
      <c r="G234" s="294"/>
      <c r="H234" s="328"/>
      <c r="I234" s="330">
        <f>H202+I226+I227+I230+I231</f>
        <v>143306</v>
      </c>
      <c r="J234" s="294"/>
      <c r="K234" s="328"/>
      <c r="L234" s="330">
        <f>K202+L226+L227+L230+L231</f>
        <v>140190</v>
      </c>
      <c r="M234" s="294"/>
      <c r="N234" s="328"/>
      <c r="O234" s="330">
        <f>N202+O226+O227+O230+O231</f>
        <v>127942.49999999996</v>
      </c>
      <c r="P234" s="294"/>
      <c r="Q234" s="328"/>
      <c r="R234" s="330">
        <f>Q202+R226+R227+R230+R231</f>
        <v>123180</v>
      </c>
      <c r="S234" s="294"/>
      <c r="T234" s="328"/>
      <c r="U234" s="330">
        <f>T202+U226+U227+U230+U231</f>
        <v>109079.00000000006</v>
      </c>
      <c r="V234" s="294"/>
      <c r="W234" s="328"/>
      <c r="X234" s="330">
        <f>W202+X226+X227+X230+X231</f>
        <v>101769.5</v>
      </c>
      <c r="Y234" s="294"/>
      <c r="Z234" s="328"/>
      <c r="AA234" s="330">
        <f>Z202+AA226+AA227+AA230+AA231</f>
        <v>94127.499999999971</v>
      </c>
      <c r="AB234" s="294"/>
      <c r="AC234" s="328"/>
      <c r="AD234" s="330">
        <f>AC202+AD226+AD227+AD230+AD231</f>
        <v>88630</v>
      </c>
      <c r="AE234" s="294"/>
      <c r="AF234" s="328"/>
      <c r="AG234" s="330">
        <f>AF202+AG226+AG227+AG230++AG231</f>
        <v>73121.499999999985</v>
      </c>
      <c r="AH234" s="294"/>
      <c r="AI234" s="61"/>
      <c r="AJ234" s="329"/>
      <c r="AK234" s="61"/>
      <c r="AL234" s="61"/>
      <c r="AM234" s="329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</row>
    <row r="235" spans="1:52" ht="18.75" hidden="1" thickBot="1">
      <c r="A235" s="61"/>
      <c r="B235" s="245"/>
      <c r="C235" s="307"/>
      <c r="D235" s="307"/>
      <c r="E235" s="331" t="s">
        <v>112</v>
      </c>
      <c r="F235" s="332"/>
      <c r="G235" s="294"/>
      <c r="H235" s="331" t="s">
        <v>112</v>
      </c>
      <c r="I235" s="332"/>
      <c r="J235" s="294"/>
      <c r="K235" s="331" t="s">
        <v>112</v>
      </c>
      <c r="L235" s="332"/>
      <c r="M235" s="294"/>
      <c r="N235" s="331" t="s">
        <v>112</v>
      </c>
      <c r="O235" s="332"/>
      <c r="P235" s="294"/>
      <c r="Q235" s="331" t="s">
        <v>112</v>
      </c>
      <c r="R235" s="332"/>
      <c r="S235" s="294"/>
      <c r="T235" s="331" t="s">
        <v>112</v>
      </c>
      <c r="U235" s="332"/>
      <c r="V235" s="294"/>
      <c r="W235" s="331" t="s">
        <v>112</v>
      </c>
      <c r="X235" s="332"/>
      <c r="Y235" s="294"/>
      <c r="Z235" s="331" t="s">
        <v>112</v>
      </c>
      <c r="AA235" s="332"/>
      <c r="AB235" s="294"/>
      <c r="AC235" s="331" t="s">
        <v>112</v>
      </c>
      <c r="AD235" s="332"/>
      <c r="AE235" s="294"/>
      <c r="AF235" s="331" t="s">
        <v>112</v>
      </c>
      <c r="AG235" s="332"/>
      <c r="AH235" s="294"/>
      <c r="AI235" s="61"/>
      <c r="AJ235" s="329"/>
      <c r="AK235" s="61"/>
      <c r="AL235" s="61"/>
      <c r="AM235" s="329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</row>
    <row r="236" spans="1:52" ht="16.5" hidden="1" thickBot="1">
      <c r="A236" s="61"/>
      <c r="B236" s="245"/>
      <c r="C236" s="307"/>
      <c r="D236" s="307"/>
      <c r="E236" s="246"/>
      <c r="F236" s="333">
        <f>F234-F211+F207</f>
        <v>45387.728275524743</v>
      </c>
      <c r="G236" s="294"/>
      <c r="H236" s="246"/>
      <c r="I236" s="333">
        <f>I234-I211+I207</f>
        <v>44102</v>
      </c>
      <c r="J236" s="294"/>
      <c r="K236" s="246"/>
      <c r="L236" s="333">
        <f>L234-L211+L207</f>
        <v>44102</v>
      </c>
      <c r="M236" s="294"/>
      <c r="N236" s="246"/>
      <c r="O236" s="333">
        <f>O234-O211+O207</f>
        <v>40019.499999999971</v>
      </c>
      <c r="P236" s="294"/>
      <c r="Q236" s="246"/>
      <c r="R236" s="333">
        <f>R234-R211+R207</f>
        <v>38432</v>
      </c>
      <c r="S236" s="294"/>
      <c r="T236" s="246"/>
      <c r="U236" s="333">
        <f>U234-U211+U207</f>
        <v>33896.000000000029</v>
      </c>
      <c r="V236" s="294"/>
      <c r="W236" s="246"/>
      <c r="X236" s="333">
        <f>X234-X211+X207</f>
        <v>31459.500000000015</v>
      </c>
      <c r="Y236" s="294"/>
      <c r="Z236" s="246"/>
      <c r="AA236" s="333">
        <f>AA234-AA211+AA207</f>
        <v>29323.499999999978</v>
      </c>
      <c r="AB236" s="294"/>
      <c r="AC236" s="246"/>
      <c r="AD236" s="333">
        <f>AD234-AD211+AD207</f>
        <v>27490.999999999993</v>
      </c>
      <c r="AE236" s="294"/>
      <c r="AF236" s="246"/>
      <c r="AG236" s="333">
        <f>AG234-AG211+AG207</f>
        <v>22680.499999999993</v>
      </c>
      <c r="AH236" s="294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</row>
    <row r="237" spans="1:52" ht="27" hidden="1" thickBot="1">
      <c r="A237" s="61"/>
      <c r="B237" s="246"/>
      <c r="C237" s="246"/>
      <c r="D237" s="246"/>
      <c r="E237" s="40">
        <v>44927</v>
      </c>
      <c r="F237" s="823" t="s">
        <v>539</v>
      </c>
      <c r="G237" s="708"/>
      <c r="H237" s="40">
        <v>44896</v>
      </c>
      <c r="I237" s="187" t="s">
        <v>533</v>
      </c>
      <c r="J237" s="708"/>
      <c r="K237" s="40">
        <v>44866</v>
      </c>
      <c r="L237" s="187" t="s">
        <v>519</v>
      </c>
      <c r="M237" s="193"/>
      <c r="N237" s="40">
        <v>44835</v>
      </c>
      <c r="O237" s="187" t="s">
        <v>520</v>
      </c>
      <c r="P237" s="193"/>
      <c r="Q237" s="40">
        <v>44805</v>
      </c>
      <c r="R237" s="187" t="s">
        <v>516</v>
      </c>
      <c r="S237" s="193"/>
      <c r="T237" s="40">
        <v>44774</v>
      </c>
      <c r="U237" s="689" t="s">
        <v>510</v>
      </c>
      <c r="V237" s="193"/>
      <c r="W237" s="40">
        <v>44743</v>
      </c>
      <c r="X237" s="187" t="s">
        <v>495</v>
      </c>
      <c r="Y237" s="193"/>
      <c r="Z237" s="40">
        <v>44682</v>
      </c>
      <c r="AA237" s="187" t="s">
        <v>494</v>
      </c>
      <c r="AB237" s="193"/>
      <c r="AC237" s="40">
        <v>44621</v>
      </c>
      <c r="AD237" s="187" t="s">
        <v>493</v>
      </c>
      <c r="AE237" s="334"/>
      <c r="AF237" s="40">
        <v>44562</v>
      </c>
      <c r="AG237" s="335">
        <v>8.8999999999999996E-2</v>
      </c>
      <c r="AH237" s="334"/>
      <c r="AI237" s="336"/>
      <c r="AJ237" s="336"/>
      <c r="AK237" s="337"/>
      <c r="AL237" s="338"/>
      <c r="AM237" s="337"/>
      <c r="AN237" s="337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</row>
    <row r="238" spans="1:52" ht="13.5" thickBot="1">
      <c r="A238" s="163"/>
      <c r="B238" s="339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340"/>
      <c r="N238" s="163"/>
      <c r="O238" s="163"/>
      <c r="P238" s="340"/>
      <c r="Q238" s="163"/>
      <c r="R238" s="163"/>
      <c r="S238" s="340"/>
      <c r="T238" s="163"/>
      <c r="U238" s="163"/>
      <c r="V238" s="340"/>
      <c r="W238" s="163"/>
      <c r="X238" s="163"/>
      <c r="Y238" s="340"/>
      <c r="Z238" s="163"/>
      <c r="AA238" s="163"/>
      <c r="AB238" s="340"/>
      <c r="AC238" s="163"/>
      <c r="AD238" s="163"/>
      <c r="AE238" s="340"/>
      <c r="AF238" s="163"/>
      <c r="AG238" s="163"/>
      <c r="AH238" s="340"/>
      <c r="AI238" s="61"/>
      <c r="AJ238" s="61"/>
      <c r="AK238" s="61"/>
      <c r="AL238" s="61"/>
      <c r="AM238" s="61"/>
      <c r="AN238" s="61"/>
      <c r="AO238" s="163"/>
      <c r="AP238" s="163"/>
      <c r="AQ238" s="163"/>
      <c r="AR238" s="163"/>
      <c r="AS238" s="163"/>
      <c r="AT238" s="163"/>
      <c r="AU238" s="163"/>
      <c r="AV238" s="163"/>
      <c r="AW238" s="163"/>
      <c r="AX238" s="163"/>
      <c r="AY238" s="163"/>
      <c r="AZ238" s="163"/>
    </row>
    <row r="239" spans="1:52" ht="15">
      <c r="A239" s="61"/>
      <c r="B239" s="61"/>
      <c r="C239" s="61"/>
      <c r="D239" s="61"/>
      <c r="E239" s="61"/>
      <c r="F239" s="827"/>
      <c r="G239" s="828"/>
      <c r="H239" s="783">
        <f>canthormed</f>
        <v>36</v>
      </c>
      <c r="I239" s="784" t="s">
        <v>514</v>
      </c>
      <c r="J239" s="785"/>
      <c r="K239" s="769">
        <f>porantighormed</f>
        <v>1.2</v>
      </c>
      <c r="L239" s="768"/>
      <c r="M239" s="770"/>
      <c r="N239" s="771"/>
      <c r="O239" s="772"/>
      <c r="X239" s="621"/>
      <c r="Y239" s="657"/>
      <c r="Z239" s="692"/>
      <c r="AA239" s="621"/>
      <c r="AB239" s="657"/>
      <c r="AC239" s="621"/>
      <c r="AD239" s="61"/>
      <c r="AE239" s="214"/>
      <c r="AF239" s="61"/>
      <c r="AG239" s="61"/>
      <c r="AH239" s="214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</row>
    <row r="240" spans="1:52" ht="18">
      <c r="A240" s="61"/>
      <c r="B240" s="61"/>
      <c r="C240" s="341" t="s">
        <v>113</v>
      </c>
      <c r="E240" s="821"/>
      <c r="F240" s="824"/>
      <c r="G240" s="824"/>
      <c r="H240" s="773">
        <v>44562</v>
      </c>
      <c r="I240" s="774">
        <v>44621</v>
      </c>
      <c r="J240" s="774">
        <v>44682</v>
      </c>
      <c r="K240" s="774">
        <v>44743</v>
      </c>
      <c r="L240" s="774">
        <v>44774</v>
      </c>
      <c r="M240" s="775">
        <v>44805</v>
      </c>
      <c r="N240" s="775">
        <v>44835</v>
      </c>
      <c r="O240" s="775">
        <v>44866</v>
      </c>
      <c r="P240" s="775">
        <v>44896</v>
      </c>
      <c r="Q240" s="775">
        <v>44927</v>
      </c>
      <c r="X240" s="622"/>
      <c r="Y240" s="622"/>
      <c r="Z240" s="622"/>
      <c r="AA240" s="622"/>
      <c r="AB240" s="622"/>
      <c r="AC240" s="622"/>
      <c r="AE240" s="342"/>
      <c r="AH240" s="342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</row>
    <row r="241" spans="1:52" ht="12.75">
      <c r="A241" s="61"/>
      <c r="B241" s="61"/>
      <c r="C241" s="61"/>
      <c r="D241" s="61"/>
      <c r="E241" s="61"/>
      <c r="F241" s="825"/>
      <c r="G241" s="825"/>
      <c r="H241" s="776">
        <f>AF245</f>
        <v>118677.12566531196</v>
      </c>
      <c r="I241" s="777">
        <f>AC245</f>
        <v>143847.6080189246</v>
      </c>
      <c r="J241" s="777">
        <f>Z245</f>
        <v>152615.79177268181</v>
      </c>
      <c r="K241" s="777">
        <f>W245</f>
        <v>165935.50433921305</v>
      </c>
      <c r="L241" s="778">
        <f>T245</f>
        <v>176960.84430680872</v>
      </c>
      <c r="M241" s="779">
        <f>Q245</f>
        <v>199650.3875442094</v>
      </c>
      <c r="N241" s="779">
        <f>N245</f>
        <v>207246.73561570881</v>
      </c>
      <c r="O241" s="779">
        <f>K245</f>
        <v>226779.81076115629</v>
      </c>
      <c r="P241" s="779">
        <f>H245</f>
        <v>233011.81076115629</v>
      </c>
      <c r="Q241" s="779">
        <f>E245</f>
        <v>241017.31184398991</v>
      </c>
      <c r="X241" s="604"/>
      <c r="Y241" s="604"/>
      <c r="Z241" s="604"/>
      <c r="AA241" s="605"/>
      <c r="AB241" s="605"/>
      <c r="AC241" s="660"/>
      <c r="AD241" s="61"/>
      <c r="AE241" s="214"/>
      <c r="AF241" s="61"/>
      <c r="AG241" s="61"/>
      <c r="AH241" s="214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</row>
    <row r="242" spans="1:52">
      <c r="A242" s="61"/>
      <c r="B242" s="851" t="s">
        <v>114</v>
      </c>
      <c r="C242" s="842"/>
      <c r="D242" s="551">
        <v>36</v>
      </c>
      <c r="E242" s="343"/>
      <c r="F242" s="825"/>
      <c r="G242" s="826"/>
      <c r="H242" s="776" t="s">
        <v>496</v>
      </c>
      <c r="I242" s="778">
        <f t="shared" ref="I242:Q242" si="242">I241-$H241</f>
        <v>25170.482353612635</v>
      </c>
      <c r="J242" s="778">
        <f t="shared" si="242"/>
        <v>33938.666107369849</v>
      </c>
      <c r="K242" s="778">
        <f t="shared" si="242"/>
        <v>47258.378673901083</v>
      </c>
      <c r="L242" s="778">
        <f t="shared" si="242"/>
        <v>58283.718641496758</v>
      </c>
      <c r="M242" s="779">
        <f t="shared" si="242"/>
        <v>80973.261878897436</v>
      </c>
      <c r="N242" s="779">
        <f t="shared" si="242"/>
        <v>88569.609950396843</v>
      </c>
      <c r="O242" s="779">
        <f t="shared" si="242"/>
        <v>108102.68509584432</v>
      </c>
      <c r="P242" s="779">
        <f t="shared" si="242"/>
        <v>114334.68509584432</v>
      </c>
      <c r="Q242" s="779">
        <f t="shared" si="242"/>
        <v>122340.18617867795</v>
      </c>
      <c r="X242" s="605"/>
      <c r="Y242" s="605"/>
      <c r="Z242" s="605"/>
      <c r="AA242" s="605"/>
      <c r="AB242" s="605"/>
      <c r="AC242" s="605"/>
      <c r="AD242" s="343"/>
      <c r="AE242" s="344"/>
      <c r="AF242" s="343"/>
      <c r="AG242" s="343"/>
      <c r="AH242" s="344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9"/>
      <c r="AZ242" s="61"/>
    </row>
    <row r="243" spans="1:52" ht="16.5" thickBot="1">
      <c r="A243" s="61"/>
      <c r="B243" s="851" t="s">
        <v>115</v>
      </c>
      <c r="C243" s="842"/>
      <c r="D243" s="552">
        <v>24</v>
      </c>
      <c r="E243" s="61" t="s">
        <v>503</v>
      </c>
      <c r="F243" s="717"/>
      <c r="G243" s="829"/>
      <c r="H243" s="780" t="s">
        <v>500</v>
      </c>
      <c r="I243" s="781">
        <f t="shared" ref="I243:Q243" si="243">I242/$H241</f>
        <v>0.21209211305468695</v>
      </c>
      <c r="J243" s="781">
        <f t="shared" si="243"/>
        <v>0.28597479014685773</v>
      </c>
      <c r="K243" s="781">
        <f t="shared" si="243"/>
        <v>0.39820966685001369</v>
      </c>
      <c r="L243" s="781">
        <f t="shared" si="243"/>
        <v>0.49111164695601028</v>
      </c>
      <c r="M243" s="782">
        <f t="shared" si="243"/>
        <v>0.68229881221807387</v>
      </c>
      <c r="N243" s="782">
        <f t="shared" si="243"/>
        <v>0.74630733980006381</v>
      </c>
      <c r="O243" s="782">
        <f t="shared" si="243"/>
        <v>0.91089739905490119</v>
      </c>
      <c r="P243" s="782">
        <f t="shared" si="243"/>
        <v>0.96340962468442315</v>
      </c>
      <c r="Q243" s="782">
        <f t="shared" si="243"/>
        <v>1.0308657670366603</v>
      </c>
      <c r="X243" s="659"/>
      <c r="Y243" s="659"/>
      <c r="Z243" s="659"/>
      <c r="AA243" s="659"/>
      <c r="AB243" s="659"/>
      <c r="AC243" s="659"/>
      <c r="AD243" s="343"/>
      <c r="AE243" s="344"/>
      <c r="AF243" s="343"/>
      <c r="AG243" s="343"/>
      <c r="AH243" s="344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9"/>
      <c r="AZ243" s="61"/>
    </row>
    <row r="244" spans="1:52" ht="16.5" thickTop="1">
      <c r="A244" s="61"/>
      <c r="B244" s="61"/>
      <c r="C244" s="61"/>
      <c r="D244" s="555">
        <f>LOOKUP(D243,D17:D28,E17:E28)</f>
        <v>1.2</v>
      </c>
      <c r="E244" s="182" t="s">
        <v>61</v>
      </c>
      <c r="F244" s="555"/>
      <c r="G244" s="555"/>
      <c r="H244" s="182" t="s">
        <v>61</v>
      </c>
      <c r="I244" s="555"/>
      <c r="J244" s="555"/>
      <c r="K244" s="182" t="s">
        <v>61</v>
      </c>
      <c r="L244" s="84"/>
      <c r="M244" s="183"/>
      <c r="N244" s="602" t="s">
        <v>61</v>
      </c>
      <c r="O244" s="84"/>
      <c r="P244" s="183"/>
      <c r="Q244" s="602" t="s">
        <v>61</v>
      </c>
      <c r="R244" s="84"/>
      <c r="S244" s="183"/>
      <c r="T244" s="182" t="s">
        <v>61</v>
      </c>
      <c r="U244" s="84"/>
      <c r="V244" s="183"/>
      <c r="W244" s="602" t="s">
        <v>61</v>
      </c>
      <c r="X244" s="84"/>
      <c r="Y244" s="183"/>
      <c r="Z244" s="602" t="s">
        <v>61</v>
      </c>
      <c r="AA244" s="84"/>
      <c r="AB244" s="183"/>
      <c r="AC244" s="602" t="s">
        <v>61</v>
      </c>
      <c r="AD244" s="84"/>
      <c r="AE244" s="183"/>
      <c r="AF244" s="182" t="s">
        <v>61</v>
      </c>
      <c r="AG244" s="84"/>
      <c r="AH244" s="183"/>
      <c r="AI244" s="76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</row>
    <row r="245" spans="1:52" ht="27" thickBot="1">
      <c r="A245" s="61"/>
      <c r="B245" s="345" t="s">
        <v>116</v>
      </c>
      <c r="C245" s="346"/>
      <c r="D245" s="553"/>
      <c r="E245" s="608">
        <f>F337</f>
        <v>241017.31184398991</v>
      </c>
      <c r="F245" s="817"/>
      <c r="G245" s="817"/>
      <c r="H245" s="608">
        <f>I337</f>
        <v>233011.81076115629</v>
      </c>
      <c r="I245" s="817"/>
      <c r="J245" s="817"/>
      <c r="K245" s="608">
        <f>L337</f>
        <v>226779.81076115629</v>
      </c>
      <c r="L245" s="347"/>
      <c r="M245" s="348"/>
      <c r="N245" s="608">
        <f>O337</f>
        <v>207246.73561570881</v>
      </c>
      <c r="O245" s="347"/>
      <c r="P245" s="348"/>
      <c r="Q245" s="608">
        <f>R337</f>
        <v>199650.3875442094</v>
      </c>
      <c r="R245" s="347"/>
      <c r="S245" s="348"/>
      <c r="T245" s="608">
        <f>U337</f>
        <v>176960.84430680872</v>
      </c>
      <c r="U245" s="347"/>
      <c r="V245" s="348"/>
      <c r="W245" s="608">
        <f>X337</f>
        <v>165935.50433921305</v>
      </c>
      <c r="X245" s="347"/>
      <c r="Y245" s="348"/>
      <c r="Z245" s="608">
        <f>AA337</f>
        <v>152615.79177268181</v>
      </c>
      <c r="AA245" s="347"/>
      <c r="AB245" s="348"/>
      <c r="AC245" s="608">
        <f>AD337</f>
        <v>143847.6080189246</v>
      </c>
      <c r="AD245" s="347"/>
      <c r="AE245" s="348"/>
      <c r="AF245" s="608">
        <f>AG337</f>
        <v>118677.12566531196</v>
      </c>
      <c r="AG245" s="347"/>
      <c r="AH245" s="348"/>
      <c r="AI245" s="349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350"/>
      <c r="AZ245" s="351"/>
    </row>
    <row r="246" spans="1:52" ht="16.5" thickTop="1">
      <c r="A246" s="61"/>
      <c r="B246" s="848" t="s">
        <v>117</v>
      </c>
      <c r="C246" s="849"/>
      <c r="D246" s="554">
        <v>36</v>
      </c>
      <c r="E246" s="818"/>
      <c r="F246" s="818"/>
      <c r="G246" s="818"/>
      <c r="H246" s="818"/>
      <c r="I246" s="818"/>
      <c r="J246" s="818"/>
      <c r="K246" s="343"/>
      <c r="L246" s="343"/>
      <c r="M246" s="344"/>
      <c r="N246" s="343"/>
      <c r="O246" s="343"/>
      <c r="P246" s="344"/>
      <c r="Q246" s="343"/>
      <c r="R246" s="343"/>
      <c r="S246" s="344"/>
      <c r="T246" s="343"/>
      <c r="U246" s="343"/>
      <c r="V246" s="344"/>
      <c r="W246" s="343"/>
      <c r="X246" s="343"/>
      <c r="Y246" s="344"/>
      <c r="Z246" s="343"/>
      <c r="AA246" s="343"/>
      <c r="AB246" s="344"/>
      <c r="AC246" s="343"/>
      <c r="AD246" s="343"/>
      <c r="AE246" s="344"/>
      <c r="AF246" s="343"/>
      <c r="AG246" s="343"/>
      <c r="AH246" s="344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9"/>
      <c r="AZ246" s="61"/>
    </row>
    <row r="247" spans="1:52">
      <c r="A247" s="61"/>
      <c r="B247" s="848" t="s">
        <v>118</v>
      </c>
      <c r="C247" s="849"/>
      <c r="D247" s="554">
        <v>36</v>
      </c>
      <c r="E247" s="818"/>
      <c r="F247" s="818"/>
      <c r="G247" s="818"/>
      <c r="H247" s="818"/>
      <c r="I247" s="818"/>
      <c r="J247" s="818"/>
      <c r="K247" s="343"/>
      <c r="L247" s="343"/>
      <c r="M247" s="344"/>
      <c r="N247" s="343"/>
      <c r="O247" s="343"/>
      <c r="P247" s="344"/>
      <c r="Q247" s="343"/>
      <c r="R247" s="343"/>
      <c r="S247" s="344"/>
      <c r="T247" s="343"/>
      <c r="U247" s="343"/>
      <c r="V247" s="344"/>
      <c r="W247" s="343"/>
      <c r="X247" s="343"/>
      <c r="Y247" s="344"/>
      <c r="Z247" s="343"/>
      <c r="AA247" s="343"/>
      <c r="AB247" s="344"/>
      <c r="AC247" s="343"/>
      <c r="AD247" s="343"/>
      <c r="AE247" s="344"/>
      <c r="AF247" s="343"/>
      <c r="AG247" s="343"/>
      <c r="AH247" s="344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9"/>
      <c r="AZ247" s="61"/>
    </row>
    <row r="248" spans="1:52">
      <c r="A248" s="61"/>
      <c r="B248" s="850" t="s">
        <v>119</v>
      </c>
      <c r="C248" s="838"/>
      <c r="D248" s="554">
        <v>1</v>
      </c>
      <c r="E248" s="818"/>
      <c r="F248" s="818"/>
      <c r="G248" s="818"/>
      <c r="H248" s="818"/>
      <c r="I248" s="818"/>
      <c r="J248" s="818"/>
      <c r="K248" s="61" t="s">
        <v>120</v>
      </c>
      <c r="L248" s="343"/>
      <c r="M248" s="344"/>
      <c r="N248" s="61" t="s">
        <v>120</v>
      </c>
      <c r="O248" s="343"/>
      <c r="P248" s="344"/>
      <c r="Q248" s="61" t="s">
        <v>120</v>
      </c>
      <c r="R248" s="343"/>
      <c r="S248" s="344"/>
      <c r="T248" s="61" t="s">
        <v>120</v>
      </c>
      <c r="U248" s="343"/>
      <c r="V248" s="344"/>
      <c r="W248" s="61" t="s">
        <v>120</v>
      </c>
      <c r="X248" s="343"/>
      <c r="Y248" s="344"/>
      <c r="Z248" s="61" t="s">
        <v>120</v>
      </c>
      <c r="AA248" s="343"/>
      <c r="AB248" s="344"/>
      <c r="AC248" s="61" t="s">
        <v>120</v>
      </c>
      <c r="AD248" s="343"/>
      <c r="AE248" s="344"/>
      <c r="AF248" s="61" t="s">
        <v>120</v>
      </c>
      <c r="AG248" s="343"/>
      <c r="AH248" s="344"/>
      <c r="AI248" s="61"/>
      <c r="AJ248" s="61"/>
      <c r="AK248" s="61"/>
      <c r="AL248" s="61"/>
      <c r="AM248" s="61"/>
      <c r="AN248" s="61"/>
      <c r="AO248" s="61"/>
      <c r="AP248" s="61"/>
      <c r="AQ248" s="69"/>
      <c r="AR248" s="61"/>
      <c r="AS248" s="61"/>
      <c r="AT248" s="61"/>
      <c r="AU248" s="61"/>
      <c r="AV248" s="61"/>
      <c r="AW248" s="61"/>
      <c r="AX248" s="61"/>
      <c r="AY248" s="61"/>
      <c r="AZ248" s="61"/>
    </row>
    <row r="249" spans="1:52">
      <c r="A249" s="61"/>
      <c r="B249" s="102" t="s">
        <v>501</v>
      </c>
      <c r="D249" s="642">
        <v>15</v>
      </c>
      <c r="E249" s="642"/>
      <c r="F249" s="642"/>
      <c r="G249" s="642"/>
      <c r="H249" s="642"/>
      <c r="I249" s="642"/>
      <c r="J249" s="642"/>
      <c r="K249" s="623" t="s">
        <v>502</v>
      </c>
      <c r="L249" s="343"/>
      <c r="M249" s="344"/>
      <c r="N249" s="623" t="s">
        <v>502</v>
      </c>
      <c r="O249" s="343"/>
      <c r="P249" s="344"/>
      <c r="Q249" s="623" t="s">
        <v>502</v>
      </c>
      <c r="R249" s="343"/>
      <c r="S249" s="344"/>
      <c r="T249" s="623" t="s">
        <v>502</v>
      </c>
      <c r="U249" s="343"/>
      <c r="V249" s="344"/>
      <c r="W249" s="343"/>
      <c r="X249" s="343"/>
      <c r="Y249" s="344"/>
      <c r="Z249" s="343"/>
      <c r="AA249" s="343"/>
      <c r="AB249" s="344"/>
      <c r="AC249" s="343"/>
      <c r="AD249" s="343"/>
      <c r="AE249" s="344"/>
      <c r="AF249" s="343"/>
      <c r="AG249" s="343"/>
      <c r="AH249" s="344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9"/>
      <c r="AZ249" s="61"/>
    </row>
    <row r="250" spans="1:52" ht="16.5" thickBot="1">
      <c r="A250" s="61"/>
      <c r="B250" s="859" t="s">
        <v>121</v>
      </c>
      <c r="C250" s="860"/>
      <c r="D250" s="554">
        <v>0</v>
      </c>
      <c r="E250" s="818"/>
      <c r="F250" s="818"/>
      <c r="G250" s="818"/>
      <c r="H250" s="818"/>
      <c r="I250" s="818"/>
      <c r="J250" s="818"/>
      <c r="K250" s="97"/>
      <c r="L250" s="97"/>
      <c r="M250" s="186"/>
      <c r="N250" s="97"/>
      <c r="O250" s="97"/>
      <c r="P250" s="186"/>
      <c r="Q250" s="97"/>
      <c r="R250" s="97"/>
      <c r="S250" s="186"/>
      <c r="T250" s="97"/>
      <c r="U250" s="97"/>
      <c r="V250" s="186"/>
      <c r="W250" s="97"/>
      <c r="X250" s="97"/>
      <c r="Y250" s="186"/>
      <c r="Z250" s="97"/>
      <c r="AA250" s="97"/>
      <c r="AB250" s="186"/>
      <c r="AC250" s="97"/>
      <c r="AD250" s="97"/>
      <c r="AE250" s="186"/>
      <c r="AF250" s="97"/>
      <c r="AG250" s="97"/>
      <c r="AH250" s="186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9"/>
      <c r="AZ250" s="61"/>
    </row>
    <row r="251" spans="1:52" s="354" customFormat="1" ht="12.75">
      <c r="A251" s="152"/>
      <c r="B251" s="152"/>
      <c r="C251" s="152"/>
      <c r="D251" s="352"/>
      <c r="E251" s="352"/>
      <c r="F251" s="352"/>
      <c r="G251" s="352"/>
      <c r="H251" s="352"/>
      <c r="I251" s="352"/>
      <c r="J251" s="352"/>
      <c r="K251" s="752" t="s">
        <v>532</v>
      </c>
      <c r="L251" s="352"/>
      <c r="M251" s="353"/>
      <c r="N251" s="352"/>
      <c r="O251" s="352"/>
      <c r="P251" s="353"/>
      <c r="Q251" s="352"/>
      <c r="R251" s="352"/>
      <c r="S251" s="353"/>
      <c r="T251" s="352"/>
      <c r="U251" s="352"/>
      <c r="V251" s="353"/>
      <c r="W251" s="352"/>
      <c r="X251" s="352"/>
      <c r="Y251" s="353"/>
      <c r="Z251" s="352"/>
      <c r="AA251" s="352"/>
      <c r="AB251" s="353"/>
      <c r="AC251" s="352"/>
      <c r="AD251" s="352"/>
      <c r="AE251" s="353"/>
      <c r="AF251" s="352"/>
      <c r="AG251" s="352"/>
      <c r="AH251" s="353"/>
      <c r="AI251" s="152"/>
      <c r="AJ251" s="152"/>
      <c r="AK251" s="152"/>
      <c r="AL251" s="152"/>
      <c r="AM251" s="152"/>
      <c r="AN251" s="152"/>
      <c r="AO251" s="152"/>
      <c r="AP251" s="152"/>
      <c r="AQ251" s="152"/>
      <c r="AR251" s="152"/>
      <c r="AS251" s="152"/>
      <c r="AT251" s="152"/>
      <c r="AU251" s="152"/>
      <c r="AV251" s="152"/>
      <c r="AW251" s="152"/>
      <c r="AX251" s="837" t="s">
        <v>113</v>
      </c>
      <c r="AY251" s="838"/>
      <c r="AZ251" s="838"/>
    </row>
    <row r="252" spans="1:52" ht="18.75" thickBot="1">
      <c r="A252" s="61"/>
      <c r="B252" s="861" t="s">
        <v>63</v>
      </c>
      <c r="C252" s="862"/>
      <c r="D252" s="355">
        <f>canthormed*64.73</f>
        <v>2330.2800000000002</v>
      </c>
      <c r="E252" s="356"/>
      <c r="F252" s="356"/>
      <c r="G252" s="356"/>
      <c r="H252" s="356"/>
      <c r="I252" s="356"/>
      <c r="J252" s="356"/>
      <c r="K252" s="753">
        <f>L282+O282+O282</f>
        <v>34725.771288446296</v>
      </c>
      <c r="L252" s="356"/>
      <c r="M252" s="357"/>
      <c r="N252" s="356"/>
      <c r="O252" s="356"/>
      <c r="P252" s="357"/>
      <c r="Q252" s="356"/>
      <c r="R252" s="356"/>
      <c r="S252" s="357"/>
      <c r="T252" s="356"/>
      <c r="U252" s="356"/>
      <c r="V252" s="357"/>
      <c r="W252" s="356"/>
      <c r="X252" s="356"/>
      <c r="Y252" s="357"/>
      <c r="Z252" s="356"/>
      <c r="AA252" s="356"/>
      <c r="AB252" s="357"/>
      <c r="AC252" s="356"/>
      <c r="AD252" s="356"/>
      <c r="AE252" s="357"/>
      <c r="AF252" s="356"/>
      <c r="AG252" s="356"/>
      <c r="AH252" s="357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189"/>
      <c r="AZ252" s="189"/>
    </row>
    <row r="253" spans="1:52" ht="18">
      <c r="A253" s="61"/>
      <c r="B253" s="189"/>
      <c r="C253" s="358"/>
      <c r="D253" s="189"/>
      <c r="E253" s="822"/>
      <c r="F253" s="822"/>
      <c r="G253" s="822"/>
      <c r="H253" s="756"/>
      <c r="I253" s="756"/>
      <c r="J253" s="756"/>
      <c r="K253" s="732"/>
      <c r="L253" s="732"/>
      <c r="M253" s="359"/>
      <c r="N253" s="732"/>
      <c r="O253" s="732"/>
      <c r="P253" s="359"/>
      <c r="Q253" s="656"/>
      <c r="R253" s="656"/>
      <c r="S253" s="359"/>
      <c r="T253" s="656"/>
      <c r="U253" s="656"/>
      <c r="V253" s="359"/>
      <c r="W253" s="624"/>
      <c r="X253" s="624"/>
      <c r="Y253" s="359"/>
      <c r="Z253" s="189"/>
      <c r="AA253" s="189"/>
      <c r="AB253" s="359"/>
      <c r="AC253" s="189"/>
      <c r="AD253" s="189"/>
      <c r="AE253" s="359"/>
      <c r="AF253" s="189"/>
      <c r="AG253" s="189"/>
      <c r="AH253" s="359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189"/>
      <c r="AZ253" s="189"/>
    </row>
    <row r="254" spans="1:52" ht="18">
      <c r="A254" s="61"/>
      <c r="B254" s="360"/>
      <c r="C254" s="61"/>
      <c r="D254" s="360"/>
      <c r="E254" s="40">
        <v>44927</v>
      </c>
      <c r="F254" s="823" t="s">
        <v>539</v>
      </c>
      <c r="G254" s="360"/>
      <c r="H254" s="40">
        <v>44896</v>
      </c>
      <c r="I254" s="187" t="s">
        <v>533</v>
      </c>
      <c r="J254" s="360"/>
      <c r="K254" s="40">
        <v>44866</v>
      </c>
      <c r="L254" s="187" t="s">
        <v>519</v>
      </c>
      <c r="M254" s="193"/>
      <c r="N254" s="40">
        <v>44835</v>
      </c>
      <c r="O254" s="187" t="s">
        <v>520</v>
      </c>
      <c r="P254" s="193"/>
      <c r="Q254" s="40">
        <v>44774</v>
      </c>
      <c r="R254" s="187" t="s">
        <v>516</v>
      </c>
      <c r="S254" s="193"/>
      <c r="T254" s="40">
        <v>44774</v>
      </c>
      <c r="U254" s="187" t="s">
        <v>509</v>
      </c>
      <c r="V254" s="193"/>
      <c r="W254" s="40">
        <v>44743</v>
      </c>
      <c r="X254" s="187" t="s">
        <v>495</v>
      </c>
      <c r="Y254" s="193"/>
      <c r="Z254" s="40">
        <v>44682</v>
      </c>
      <c r="AA254" s="187" t="s">
        <v>494</v>
      </c>
      <c r="AB254" s="193"/>
      <c r="AC254" s="40">
        <v>44621</v>
      </c>
      <c r="AD254" s="187" t="s">
        <v>493</v>
      </c>
      <c r="AE254" s="196"/>
      <c r="AF254" s="40">
        <v>44562</v>
      </c>
      <c r="AG254" s="588">
        <v>8.8999999999999996E-2</v>
      </c>
      <c r="AH254" s="3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70"/>
      <c r="AZ254" s="70"/>
    </row>
    <row r="255" spans="1:52" ht="12.75">
      <c r="A255" s="61"/>
      <c r="B255" s="362" t="s">
        <v>65</v>
      </c>
      <c r="C255" s="363" t="s">
        <v>66</v>
      </c>
      <c r="D255" s="364" t="s">
        <v>67</v>
      </c>
      <c r="E255" s="364"/>
      <c r="F255" s="364"/>
      <c r="G255" s="364"/>
      <c r="H255" s="364"/>
      <c r="I255" s="364"/>
      <c r="J255" s="364"/>
      <c r="K255" s="364"/>
      <c r="L255" s="364"/>
      <c r="M255" s="365"/>
      <c r="N255" s="364"/>
      <c r="O255" s="364"/>
      <c r="P255" s="365"/>
      <c r="Q255" s="364"/>
      <c r="R255" s="364"/>
      <c r="S255" s="365"/>
      <c r="T255" s="364"/>
      <c r="U255" s="364"/>
      <c r="V255" s="365"/>
      <c r="W255" s="364"/>
      <c r="X255" s="364"/>
      <c r="Y255" s="365"/>
      <c r="Z255" s="364"/>
      <c r="AA255" s="364"/>
      <c r="AB255" s="365"/>
      <c r="AC255" s="364"/>
      <c r="AD255" s="364"/>
      <c r="AE255" s="365"/>
      <c r="AF255" s="364"/>
      <c r="AG255" s="364"/>
      <c r="AH255" s="365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70"/>
      <c r="AZ255" s="70"/>
    </row>
    <row r="256" spans="1:52" ht="15">
      <c r="A256" s="61"/>
      <c r="B256" s="794">
        <v>4</v>
      </c>
      <c r="C256" s="795">
        <v>36</v>
      </c>
      <c r="D256" s="796" t="s">
        <v>122</v>
      </c>
      <c r="E256" s="368">
        <f t="shared" ref="E256:E262" si="244">E313</f>
        <v>89796.873743999997</v>
      </c>
      <c r="F256" s="369"/>
      <c r="G256" s="342"/>
      <c r="H256" s="368">
        <f t="shared" ref="H256:H262" si="245">H313</f>
        <v>87392.490840000013</v>
      </c>
      <c r="I256" s="369"/>
      <c r="J256" s="342"/>
      <c r="K256" s="368">
        <f t="shared" ref="K256:K262" si="246">K313</f>
        <v>87392.490840000013</v>
      </c>
      <c r="L256" s="369"/>
      <c r="M256" s="342"/>
      <c r="N256" s="368">
        <f t="shared" ref="N256:N262" si="247">N313</f>
        <v>79302.690792000009</v>
      </c>
      <c r="O256" s="369"/>
      <c r="P256" s="342"/>
      <c r="Q256" s="368">
        <f t="shared" ref="Q256:Q262" si="248">Q313</f>
        <v>76156.579764000009</v>
      </c>
      <c r="R256" s="369"/>
      <c r="S256" s="342"/>
      <c r="T256" s="368">
        <f t="shared" ref="T256:T262" si="249">T313</f>
        <v>67167.928151982007</v>
      </c>
      <c r="U256" s="369"/>
      <c r="V256" s="342"/>
      <c r="W256" s="368">
        <f t="shared" ref="W256:W262" si="250">W313</f>
        <v>62601.677566340411</v>
      </c>
      <c r="X256" s="369"/>
      <c r="Y256" s="342"/>
      <c r="Z256" s="368">
        <f t="shared" ref="Z256:Z262" si="251">Z313</f>
        <v>58107.336438740407</v>
      </c>
      <c r="AA256" s="369"/>
      <c r="AB256" s="342"/>
      <c r="AC256" s="368">
        <f t="shared" ref="AC256:AC257" si="252">AC313</f>
        <v>54475.908807639607</v>
      </c>
      <c r="AD256" s="369"/>
      <c r="AE256" s="342"/>
      <c r="AF256" s="368">
        <f t="shared" ref="AF256" si="253">AF313</f>
        <v>44943.411276000006</v>
      </c>
      <c r="AG256" s="369"/>
      <c r="AH256" s="342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70"/>
      <c r="AZ256" s="70"/>
    </row>
    <row r="257" spans="1:52" ht="12.75">
      <c r="A257" s="61"/>
      <c r="B257" s="556">
        <v>10</v>
      </c>
      <c r="C257" s="701">
        <f>porantighormed</f>
        <v>1.2</v>
      </c>
      <c r="D257" s="367" t="s">
        <v>76</v>
      </c>
      <c r="E257" s="370">
        <f t="shared" si="244"/>
        <v>107756.24849279999</v>
      </c>
      <c r="F257" s="371"/>
      <c r="G257" s="342"/>
      <c r="H257" s="370">
        <f t="shared" si="245"/>
        <v>104870.98900800002</v>
      </c>
      <c r="I257" s="371"/>
      <c r="J257" s="342"/>
      <c r="K257" s="370">
        <f t="shared" si="246"/>
        <v>104870.98900800002</v>
      </c>
      <c r="L257" s="371"/>
      <c r="M257" s="342"/>
      <c r="N257" s="370">
        <f t="shared" si="247"/>
        <v>95163.228950400007</v>
      </c>
      <c r="O257" s="371"/>
      <c r="P257" s="342"/>
      <c r="Q257" s="370">
        <f t="shared" si="248"/>
        <v>91387.895716800005</v>
      </c>
      <c r="R257" s="371"/>
      <c r="S257" s="342"/>
      <c r="T257" s="370">
        <f t="shared" si="249"/>
        <v>80601.513782378403</v>
      </c>
      <c r="U257" s="371"/>
      <c r="V257" s="342"/>
      <c r="W257" s="370">
        <f t="shared" si="250"/>
        <v>75122.013079608485</v>
      </c>
      <c r="X257" s="371"/>
      <c r="Y257" s="342"/>
      <c r="Z257" s="370">
        <f t="shared" si="251"/>
        <v>69728.803726488492</v>
      </c>
      <c r="AA257" s="371"/>
      <c r="AB257" s="342"/>
      <c r="AC257" s="370">
        <f t="shared" si="252"/>
        <v>65371.090569167529</v>
      </c>
      <c r="AD257" s="371"/>
      <c r="AE257" s="342"/>
      <c r="AF257" s="370">
        <f t="shared" ref="AF257" si="254">AF314</f>
        <v>53932.093531200007</v>
      </c>
      <c r="AG257" s="371"/>
      <c r="AH257" s="342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70"/>
      <c r="AZ257" s="70"/>
    </row>
    <row r="258" spans="1:52">
      <c r="A258" s="61"/>
      <c r="B258" s="794">
        <v>6</v>
      </c>
      <c r="C258" s="797">
        <f t="shared" ref="C258:AF260" si="255">C315</f>
        <v>36</v>
      </c>
      <c r="D258" s="796" t="s">
        <v>75</v>
      </c>
      <c r="E258" s="368">
        <f t="shared" si="244"/>
        <v>22287.704738861019</v>
      </c>
      <c r="F258" s="369"/>
      <c r="G258" s="342"/>
      <c r="H258" s="368">
        <f t="shared" si="245"/>
        <v>21690.911844201826</v>
      </c>
      <c r="I258" s="369"/>
      <c r="J258" s="342"/>
      <c r="K258" s="368">
        <f t="shared" si="246"/>
        <v>21690.911844201826</v>
      </c>
      <c r="L258" s="369"/>
      <c r="M258" s="342"/>
      <c r="N258" s="368">
        <f t="shared" si="247"/>
        <v>19683.010516376507</v>
      </c>
      <c r="O258" s="369"/>
      <c r="P258" s="342"/>
      <c r="Q258" s="368">
        <f t="shared" si="248"/>
        <v>18902.159999999996</v>
      </c>
      <c r="R258" s="369"/>
      <c r="S258" s="342"/>
      <c r="T258" s="368">
        <f t="shared" si="249"/>
        <v>16670.974735799999</v>
      </c>
      <c r="U258" s="369"/>
      <c r="V258" s="342"/>
      <c r="W258" s="368">
        <f t="shared" si="250"/>
        <v>15537.638480759999</v>
      </c>
      <c r="X258" s="369"/>
      <c r="Y258" s="342"/>
      <c r="Z258" s="368">
        <f t="shared" si="251"/>
        <v>14422.150040759998</v>
      </c>
      <c r="AA258" s="369"/>
      <c r="AB258" s="342"/>
      <c r="AC258" s="368">
        <f t="shared" ref="AC258:AC262" si="256">AC315</f>
        <v>13520.835381239998</v>
      </c>
      <c r="AD258" s="369"/>
      <c r="AE258" s="342"/>
      <c r="AF258" s="368">
        <f t="shared" si="255"/>
        <v>11154.884399999999</v>
      </c>
      <c r="AG258" s="369"/>
      <c r="AH258" s="342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70"/>
      <c r="AZ258" s="70"/>
    </row>
    <row r="259" spans="1:52" ht="12.75">
      <c r="A259" s="61"/>
      <c r="B259" s="556">
        <v>14</v>
      </c>
      <c r="C259" s="701">
        <v>7.0000000000000007E-2</v>
      </c>
      <c r="D259" s="367" t="s">
        <v>123</v>
      </c>
      <c r="E259" s="370">
        <f t="shared" si="244"/>
        <v>1560.1393317202715</v>
      </c>
      <c r="F259" s="371"/>
      <c r="G259" s="342"/>
      <c r="H259" s="370">
        <f t="shared" si="245"/>
        <v>1518.3638290941281</v>
      </c>
      <c r="I259" s="371"/>
      <c r="J259" s="342"/>
      <c r="K259" s="370">
        <f t="shared" si="246"/>
        <v>1518.3638290941281</v>
      </c>
      <c r="L259" s="371"/>
      <c r="M259" s="342"/>
      <c r="N259" s="370">
        <f t="shared" si="247"/>
        <v>1377.8107361463556</v>
      </c>
      <c r="O259" s="371"/>
      <c r="P259" s="342"/>
      <c r="Q259" s="370">
        <f t="shared" si="248"/>
        <v>1323.1511999999998</v>
      </c>
      <c r="R259" s="371"/>
      <c r="S259" s="342"/>
      <c r="T259" s="370">
        <f t="shared" si="249"/>
        <v>1166.9682315059999</v>
      </c>
      <c r="U259" s="371"/>
      <c r="V259" s="342"/>
      <c r="W259" s="370">
        <f t="shared" si="250"/>
        <v>1087.6346936532</v>
      </c>
      <c r="X259" s="371"/>
      <c r="Y259" s="342"/>
      <c r="Z259" s="370">
        <f t="shared" si="251"/>
        <v>1009.5505028532</v>
      </c>
      <c r="AA259" s="371"/>
      <c r="AB259" s="342"/>
      <c r="AC259" s="370">
        <f t="shared" si="256"/>
        <v>946.45847668679994</v>
      </c>
      <c r="AD259" s="371"/>
      <c r="AE259" s="342"/>
      <c r="AF259" s="370">
        <f t="shared" ref="AF259" si="257">AF316</f>
        <v>780.84190799999999</v>
      </c>
      <c r="AG259" s="371"/>
      <c r="AH259" s="342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70"/>
      <c r="AZ259" s="70"/>
    </row>
    <row r="260" spans="1:52">
      <c r="A260" s="61"/>
      <c r="B260" s="794">
        <v>18</v>
      </c>
      <c r="C260" s="797">
        <f t="shared" si="255"/>
        <v>18</v>
      </c>
      <c r="D260" s="798" t="s">
        <v>124</v>
      </c>
      <c r="E260" s="368">
        <f t="shared" si="244"/>
        <v>8936.4067753936069</v>
      </c>
      <c r="F260" s="369"/>
      <c r="G260" s="342"/>
      <c r="H260" s="368">
        <f t="shared" si="245"/>
        <v>8697.1186059824158</v>
      </c>
      <c r="I260" s="369"/>
      <c r="J260" s="342"/>
      <c r="K260" s="368">
        <f t="shared" si="246"/>
        <v>8697.1186059824158</v>
      </c>
      <c r="L260" s="369"/>
      <c r="M260" s="342"/>
      <c r="N260" s="368">
        <f t="shared" si="247"/>
        <v>7892.0369145055147</v>
      </c>
      <c r="O260" s="369"/>
      <c r="P260" s="342"/>
      <c r="Q260" s="368">
        <f t="shared" si="248"/>
        <v>7578.96</v>
      </c>
      <c r="R260" s="369"/>
      <c r="S260" s="342"/>
      <c r="T260" s="368">
        <f t="shared" si="249"/>
        <v>6684.4143772901625</v>
      </c>
      <c r="U260" s="369"/>
      <c r="V260" s="342"/>
      <c r="W260" s="368">
        <f t="shared" si="250"/>
        <v>6229.9904892120894</v>
      </c>
      <c r="X260" s="369"/>
      <c r="Y260" s="342"/>
      <c r="Z260" s="368">
        <f t="shared" si="251"/>
        <v>5782.722882836033</v>
      </c>
      <c r="AA260" s="369"/>
      <c r="AB260" s="342"/>
      <c r="AC260" s="368">
        <f t="shared" si="256"/>
        <v>5421.330656884179</v>
      </c>
      <c r="AD260" s="369"/>
      <c r="AE260" s="342"/>
      <c r="AF260" s="368">
        <f t="shared" ref="AF260" si="258">AF317</f>
        <v>4472.6760637605639</v>
      </c>
      <c r="AG260" s="369"/>
      <c r="AH260" s="342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70"/>
      <c r="AZ260" s="70"/>
    </row>
    <row r="261" spans="1:52" ht="12.75">
      <c r="A261" s="61"/>
      <c r="B261" s="556">
        <v>188</v>
      </c>
      <c r="C261" s="701">
        <v>7.0000000000000007E-2</v>
      </c>
      <c r="D261" s="367" t="s">
        <v>78</v>
      </c>
      <c r="E261" s="370">
        <f t="shared" si="244"/>
        <v>15951.354644372144</v>
      </c>
      <c r="F261" s="371"/>
      <c r="G261" s="342"/>
      <c r="H261" s="370">
        <f t="shared" si="245"/>
        <v>15524.242324454901</v>
      </c>
      <c r="I261" s="371"/>
      <c r="J261" s="342"/>
      <c r="K261" s="370">
        <f t="shared" si="246"/>
        <v>15524.242324454901</v>
      </c>
      <c r="L261" s="371"/>
      <c r="M261" s="342"/>
      <c r="N261" s="370">
        <f t="shared" si="247"/>
        <v>14087.184640684865</v>
      </c>
      <c r="O261" s="371"/>
      <c r="P261" s="342"/>
      <c r="Q261" s="370">
        <f t="shared" si="248"/>
        <v>13528.316583656004</v>
      </c>
      <c r="R261" s="371"/>
      <c r="S261" s="342"/>
      <c r="T261" s="370">
        <f t="shared" si="249"/>
        <v>11931.58847955505</v>
      </c>
      <c r="U261" s="371"/>
      <c r="V261" s="342"/>
      <c r="W261" s="370">
        <f t="shared" si="250"/>
        <v>11120.448038255086</v>
      </c>
      <c r="X261" s="371"/>
      <c r="Y261" s="342"/>
      <c r="Z261" s="370">
        <f t="shared" si="251"/>
        <v>10322.081462172446</v>
      </c>
      <c r="AA261" s="371"/>
      <c r="AB261" s="342"/>
      <c r="AC261" s="370">
        <f t="shared" si="256"/>
        <v>9677.0012686976734</v>
      </c>
      <c r="AD261" s="371"/>
      <c r="AE261" s="342"/>
      <c r="AF261" s="370">
        <f t="shared" ref="AF261" si="259">AF318</f>
        <v>7983.6657608263968</v>
      </c>
      <c r="AG261" s="371"/>
      <c r="AH261" s="342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70"/>
      <c r="AZ261" s="70"/>
    </row>
    <row r="262" spans="1:52" ht="15">
      <c r="A262" s="61"/>
      <c r="B262" s="565">
        <v>78</v>
      </c>
      <c r="C262" s="594">
        <v>0</v>
      </c>
      <c r="D262" s="373" t="s">
        <v>81</v>
      </c>
      <c r="E262" s="368">
        <f t="shared" si="244"/>
        <v>0</v>
      </c>
      <c r="F262" s="369"/>
      <c r="G262" s="342"/>
      <c r="H262" s="368">
        <f t="shared" si="245"/>
        <v>0</v>
      </c>
      <c r="I262" s="369"/>
      <c r="J262" s="342"/>
      <c r="K262" s="368">
        <f t="shared" si="246"/>
        <v>0</v>
      </c>
      <c r="L262" s="369"/>
      <c r="M262" s="342"/>
      <c r="N262" s="368">
        <f t="shared" si="247"/>
        <v>0</v>
      </c>
      <c r="O262" s="369"/>
      <c r="P262" s="342"/>
      <c r="Q262" s="368">
        <f t="shared" si="248"/>
        <v>0</v>
      </c>
      <c r="R262" s="369"/>
      <c r="S262" s="342"/>
      <c r="T262" s="368">
        <f t="shared" si="249"/>
        <v>0</v>
      </c>
      <c r="U262" s="369"/>
      <c r="V262" s="342"/>
      <c r="W262" s="368">
        <f t="shared" si="250"/>
        <v>0</v>
      </c>
      <c r="X262" s="369"/>
      <c r="Y262" s="342"/>
      <c r="Z262" s="368">
        <f t="shared" si="251"/>
        <v>0</v>
      </c>
      <c r="AA262" s="369"/>
      <c r="AB262" s="342"/>
      <c r="AC262" s="368">
        <f t="shared" si="256"/>
        <v>0</v>
      </c>
      <c r="AD262" s="369"/>
      <c r="AE262" s="342"/>
      <c r="AF262" s="368">
        <f t="shared" ref="AF262" si="260">AF319</f>
        <v>0</v>
      </c>
      <c r="AG262" s="369"/>
      <c r="AH262" s="342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70"/>
      <c r="AZ262" s="70"/>
    </row>
    <row r="263" spans="1:52" ht="14.25">
      <c r="A263" s="61"/>
      <c r="B263" s="556">
        <v>29</v>
      </c>
      <c r="C263" s="557">
        <f>C320</f>
        <v>0</v>
      </c>
      <c r="D263" s="367" t="s">
        <v>85</v>
      </c>
      <c r="E263" s="370">
        <f t="shared" ref="E263:F263" si="261">E320</f>
        <v>0</v>
      </c>
      <c r="F263" s="371">
        <f t="shared" si="261"/>
        <v>0</v>
      </c>
      <c r="G263" s="342"/>
      <c r="H263" s="370">
        <f t="shared" ref="H263:I266" si="262">H320</f>
        <v>0</v>
      </c>
      <c r="I263" s="371">
        <f t="shared" si="262"/>
        <v>0</v>
      </c>
      <c r="J263" s="342"/>
      <c r="K263" s="370">
        <f t="shared" ref="K263:L263" si="263">K320</f>
        <v>0</v>
      </c>
      <c r="L263" s="371">
        <f t="shared" si="263"/>
        <v>0</v>
      </c>
      <c r="M263" s="342"/>
      <c r="N263" s="370">
        <f t="shared" ref="N263:O263" si="264">N320</f>
        <v>0</v>
      </c>
      <c r="O263" s="371">
        <f t="shared" si="264"/>
        <v>0</v>
      </c>
      <c r="P263" s="342"/>
      <c r="Q263" s="370">
        <f t="shared" ref="Q263:R266" si="265">Q320</f>
        <v>0</v>
      </c>
      <c r="R263" s="371">
        <f t="shared" si="265"/>
        <v>0</v>
      </c>
      <c r="S263" s="342"/>
      <c r="T263" s="370">
        <f t="shared" ref="T263:U266" si="266">T320</f>
        <v>0</v>
      </c>
      <c r="U263" s="371">
        <f t="shared" si="266"/>
        <v>0</v>
      </c>
      <c r="V263" s="342"/>
      <c r="W263" s="370">
        <f t="shared" ref="W263:X266" si="267">W320</f>
        <v>0</v>
      </c>
      <c r="X263" s="371">
        <f t="shared" si="267"/>
        <v>0</v>
      </c>
      <c r="Y263" s="342"/>
      <c r="Z263" s="370">
        <f t="shared" ref="Z263:AA263" si="268">Z320</f>
        <v>0</v>
      </c>
      <c r="AA263" s="371">
        <f t="shared" si="268"/>
        <v>0</v>
      </c>
      <c r="AB263" s="342"/>
      <c r="AC263" s="370">
        <f t="shared" ref="AC263:AD266" si="269">AC320</f>
        <v>0</v>
      </c>
      <c r="AD263" s="371">
        <f t="shared" si="269"/>
        <v>0</v>
      </c>
      <c r="AE263" s="342"/>
      <c r="AF263" s="370">
        <f t="shared" ref="AF263:AG263" si="270">AF320</f>
        <v>0</v>
      </c>
      <c r="AG263" s="371" t="str">
        <f t="shared" si="270"/>
        <v>aumenta 8,9%</v>
      </c>
      <c r="AH263" s="342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70"/>
      <c r="AZ263" s="70"/>
    </row>
    <row r="264" spans="1:52">
      <c r="A264" s="61"/>
      <c r="B264" s="794">
        <v>117</v>
      </c>
      <c r="C264" s="799"/>
      <c r="D264" s="796" t="s">
        <v>84</v>
      </c>
      <c r="E264" s="368">
        <f t="shared" ref="E264" si="271">E321</f>
        <v>6312.0559074084504</v>
      </c>
      <c r="F264" s="369"/>
      <c r="G264" s="342"/>
      <c r="H264" s="368">
        <f t="shared" si="262"/>
        <v>6143.0393953732382</v>
      </c>
      <c r="I264" s="369"/>
      <c r="J264" s="342"/>
      <c r="K264" s="368">
        <f t="shared" ref="K264" si="272">K321</f>
        <v>6143.0393953732382</v>
      </c>
      <c r="L264" s="369"/>
      <c r="M264" s="342"/>
      <c r="N264" s="368">
        <f t="shared" ref="N264" si="273">N321</f>
        <v>5574.3857100211262</v>
      </c>
      <c r="O264" s="369"/>
      <c r="P264" s="342"/>
      <c r="Q264" s="368">
        <f t="shared" si="265"/>
        <v>5353.23</v>
      </c>
      <c r="R264" s="369"/>
      <c r="S264" s="342"/>
      <c r="T264" s="368">
        <f t="shared" si="266"/>
        <v>4721.4051819929573</v>
      </c>
      <c r="U264" s="369"/>
      <c r="V264" s="342"/>
      <c r="W264" s="368">
        <f t="shared" si="267"/>
        <v>4400.4317684830985</v>
      </c>
      <c r="X264" s="369"/>
      <c r="Y264" s="342"/>
      <c r="Z264" s="368">
        <f t="shared" ref="Z264" si="274">Z321</f>
        <v>4084.5130543985911</v>
      </c>
      <c r="AA264" s="369"/>
      <c r="AB264" s="342"/>
      <c r="AC264" s="368">
        <f t="shared" si="269"/>
        <v>3829.2507334183092</v>
      </c>
      <c r="AD264" s="369"/>
      <c r="AE264" s="342"/>
      <c r="AF264" s="368">
        <f t="shared" ref="AF264" si="275">AF321</f>
        <v>3159.1871408450702</v>
      </c>
      <c r="AG264" s="369"/>
      <c r="AH264" s="342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70"/>
      <c r="AZ264" s="70"/>
    </row>
    <row r="265" spans="1:52">
      <c r="A265" s="61"/>
      <c r="B265" s="566">
        <v>38</v>
      </c>
      <c r="C265" s="617">
        <f>D249</f>
        <v>15</v>
      </c>
      <c r="D265" s="374" t="s">
        <v>125</v>
      </c>
      <c r="E265" s="370">
        <f t="shared" ref="E265" si="276">E322</f>
        <v>15074.91</v>
      </c>
      <c r="F265" s="371"/>
      <c r="G265" s="342"/>
      <c r="H265" s="370">
        <f t="shared" si="262"/>
        <v>14671.252499999999</v>
      </c>
      <c r="I265" s="371"/>
      <c r="J265" s="342"/>
      <c r="K265" s="370">
        <f t="shared" ref="K265" si="277">K322</f>
        <v>14671.252499999999</v>
      </c>
      <c r="L265" s="371"/>
      <c r="M265" s="342"/>
      <c r="N265" s="370">
        <f t="shared" ref="N265" si="278">N322</f>
        <v>13313.1525</v>
      </c>
      <c r="O265" s="371"/>
      <c r="P265" s="342"/>
      <c r="Q265" s="370">
        <f t="shared" si="265"/>
        <v>12785</v>
      </c>
      <c r="R265" s="371"/>
      <c r="S265" s="342"/>
      <c r="T265" s="370">
        <f t="shared" si="266"/>
        <v>11276.002499999999</v>
      </c>
      <c r="U265" s="371"/>
      <c r="V265" s="342"/>
      <c r="W265" s="370">
        <f t="shared" si="267"/>
        <v>10509.4305</v>
      </c>
      <c r="X265" s="371"/>
      <c r="Y265" s="342"/>
      <c r="Z265" s="370">
        <f t="shared" ref="Z265" si="279">Z322</f>
        <v>9754.9305000000004</v>
      </c>
      <c r="AA265" s="371"/>
      <c r="AB265" s="342"/>
      <c r="AC265" s="370">
        <f t="shared" si="269"/>
        <v>9145.2945</v>
      </c>
      <c r="AD265" s="371"/>
      <c r="AE265" s="342"/>
      <c r="AF265" s="370">
        <f t="shared" ref="AF265" si="280">AF322</f>
        <v>7545</v>
      </c>
      <c r="AG265" s="371"/>
      <c r="AH265" s="342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70"/>
      <c r="AZ265" s="70"/>
    </row>
    <row r="266" spans="1:52">
      <c r="A266" s="61"/>
      <c r="B266" s="565"/>
      <c r="C266" s="559"/>
      <c r="D266" s="375" t="s">
        <v>126</v>
      </c>
      <c r="E266" s="376">
        <f t="shared" ref="E266" si="281">E323</f>
        <v>267675.69363455544</v>
      </c>
      <c r="F266" s="369"/>
      <c r="G266" s="342"/>
      <c r="H266" s="376">
        <f t="shared" si="262"/>
        <v>260508.40834710657</v>
      </c>
      <c r="I266" s="369"/>
      <c r="J266" s="342"/>
      <c r="K266" s="376">
        <f t="shared" ref="K266" si="282">K323</f>
        <v>260508.40834710657</v>
      </c>
      <c r="L266" s="369"/>
      <c r="M266" s="342"/>
      <c r="N266" s="376">
        <f t="shared" ref="N266" si="283">N323</f>
        <v>236393.50076013434</v>
      </c>
      <c r="O266" s="369"/>
      <c r="P266" s="342"/>
      <c r="Q266" s="376">
        <f t="shared" si="265"/>
        <v>227015.29326445604</v>
      </c>
      <c r="R266" s="369"/>
      <c r="S266" s="342"/>
      <c r="T266" s="376">
        <f t="shared" si="266"/>
        <v>200220.79544050459</v>
      </c>
      <c r="U266" s="369"/>
      <c r="V266" s="342"/>
      <c r="W266" s="376">
        <f t="shared" si="267"/>
        <v>186609.2646163124</v>
      </c>
      <c r="X266" s="369"/>
      <c r="Y266" s="342"/>
      <c r="Z266" s="376">
        <f t="shared" ref="Z266" si="284">Z323</f>
        <v>173212.08860824915</v>
      </c>
      <c r="AA266" s="369"/>
      <c r="AB266" s="342"/>
      <c r="AC266" s="376">
        <f t="shared" si="269"/>
        <v>162387.17039373406</v>
      </c>
      <c r="AD266" s="369"/>
      <c r="AE266" s="342"/>
      <c r="AF266" s="376">
        <f t="shared" ref="AF266" si="285">AF323</f>
        <v>133971.76008063206</v>
      </c>
      <c r="AG266" s="369"/>
      <c r="AH266" s="342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70"/>
      <c r="AZ266" s="70"/>
    </row>
    <row r="267" spans="1:52" ht="15">
      <c r="A267" s="61"/>
      <c r="B267" s="567" t="s">
        <v>127</v>
      </c>
      <c r="C267" s="560"/>
      <c r="D267" s="367"/>
      <c r="E267" s="611">
        <v>0</v>
      </c>
      <c r="F267" s="371"/>
      <c r="G267" s="342"/>
      <c r="H267" s="611">
        <v>0</v>
      </c>
      <c r="I267" s="371"/>
      <c r="J267" s="342"/>
      <c r="K267" s="611">
        <v>0</v>
      </c>
      <c r="L267" s="371"/>
      <c r="M267" s="342"/>
      <c r="N267" s="611">
        <v>0</v>
      </c>
      <c r="O267" s="371"/>
      <c r="P267" s="342"/>
      <c r="Q267" s="611">
        <v>0</v>
      </c>
      <c r="R267" s="371"/>
      <c r="S267" s="342"/>
      <c r="T267" s="611">
        <v>0</v>
      </c>
      <c r="U267" s="371"/>
      <c r="V267" s="342"/>
      <c r="W267" s="377">
        <v>0</v>
      </c>
      <c r="X267" s="371"/>
      <c r="Y267" s="342"/>
      <c r="Z267" s="377">
        <v>0</v>
      </c>
      <c r="AA267" s="371"/>
      <c r="AB267" s="342"/>
      <c r="AC267" s="377">
        <v>0</v>
      </c>
      <c r="AD267" s="371"/>
      <c r="AE267" s="342"/>
      <c r="AF267" s="377">
        <v>0</v>
      </c>
      <c r="AG267" s="371"/>
      <c r="AH267" s="342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70"/>
      <c r="AZ267" s="70"/>
    </row>
    <row r="268" spans="1:52">
      <c r="A268" s="61"/>
      <c r="B268" s="565">
        <v>84</v>
      </c>
      <c r="C268" s="47">
        <f>C325</f>
        <v>29.999999999999996</v>
      </c>
      <c r="D268" s="373" t="s">
        <v>89</v>
      </c>
      <c r="E268" s="368">
        <f>E325</f>
        <v>14700</v>
      </c>
      <c r="F268" s="369"/>
      <c r="G268" s="342"/>
      <c r="H268" s="368">
        <f>H325</f>
        <v>13500</v>
      </c>
      <c r="I268" s="369"/>
      <c r="J268" s="342"/>
      <c r="K268" s="368">
        <f>K325</f>
        <v>11268</v>
      </c>
      <c r="L268" s="369"/>
      <c r="M268" s="342"/>
      <c r="N268" s="368">
        <f>N325</f>
        <v>11268</v>
      </c>
      <c r="O268" s="369"/>
      <c r="P268" s="342"/>
      <c r="Q268" s="368">
        <f>Q325</f>
        <v>11268</v>
      </c>
      <c r="R268" s="369"/>
      <c r="S268" s="342"/>
      <c r="T268" s="368">
        <f>T325</f>
        <v>10282</v>
      </c>
      <c r="U268" s="369"/>
      <c r="V268" s="342"/>
      <c r="W268" s="368">
        <f>W325</f>
        <v>10282</v>
      </c>
      <c r="X268" s="369"/>
      <c r="Y268" s="342"/>
      <c r="Z268" s="368">
        <f>Z325</f>
        <v>7814</v>
      </c>
      <c r="AA268" s="369"/>
      <c r="AB268" s="342"/>
      <c r="AC268" s="368">
        <f>AC325</f>
        <v>7814</v>
      </c>
      <c r="AD268" s="369"/>
      <c r="AE268" s="342"/>
      <c r="AF268" s="368">
        <f>AF325</f>
        <v>5660</v>
      </c>
      <c r="AG268" s="369"/>
      <c r="AH268" s="342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70"/>
      <c r="AZ268" s="70"/>
    </row>
    <row r="269" spans="1:52">
      <c r="A269" s="61"/>
      <c r="B269" s="565">
        <v>54</v>
      </c>
      <c r="C269" s="47">
        <f t="shared" ref="C269:C270" si="286">C326</f>
        <v>30</v>
      </c>
      <c r="D269" s="373" t="s">
        <v>91</v>
      </c>
      <c r="E269" s="368">
        <f>E326</f>
        <v>4500</v>
      </c>
      <c r="F269" s="369"/>
      <c r="G269" s="342"/>
      <c r="H269" s="368">
        <f>H326</f>
        <v>4500</v>
      </c>
      <c r="I269" s="369"/>
      <c r="J269" s="342"/>
      <c r="K269" s="368">
        <f>K326</f>
        <v>4500</v>
      </c>
      <c r="L269" s="369"/>
      <c r="M269" s="342"/>
      <c r="N269" s="368">
        <f>N326</f>
        <v>4500</v>
      </c>
      <c r="O269" s="369"/>
      <c r="P269" s="342"/>
      <c r="Q269" s="368">
        <f>Q326</f>
        <v>4500</v>
      </c>
      <c r="R269" s="369"/>
      <c r="S269" s="342"/>
      <c r="T269" s="368">
        <f>T326</f>
        <v>4500</v>
      </c>
      <c r="U269" s="369"/>
      <c r="V269" s="342"/>
      <c r="W269" s="368">
        <f>W326</f>
        <v>4500</v>
      </c>
      <c r="X269" s="369"/>
      <c r="Y269" s="342"/>
      <c r="Z269" s="368">
        <f>Z326</f>
        <v>4500</v>
      </c>
      <c r="AA269" s="369"/>
      <c r="AB269" s="342"/>
      <c r="AC269" s="368">
        <f>AC326</f>
        <v>4500</v>
      </c>
      <c r="AD269" s="369"/>
      <c r="AE269" s="342"/>
      <c r="AF269" s="368">
        <f t="shared" ref="AF269" si="287">AF326</f>
        <v>4500</v>
      </c>
      <c r="AG269" s="369"/>
      <c r="AH269" s="342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70"/>
      <c r="AZ269" s="70"/>
    </row>
    <row r="270" spans="1:52">
      <c r="A270" s="61"/>
      <c r="B270" s="565">
        <v>64</v>
      </c>
      <c r="C270" s="47">
        <f t="shared" si="286"/>
        <v>37.500093750234377</v>
      </c>
      <c r="D270" s="373" t="s">
        <v>91</v>
      </c>
      <c r="E270" s="370">
        <f>E327</f>
        <v>5000</v>
      </c>
      <c r="F270" s="371"/>
      <c r="G270" s="342"/>
      <c r="H270" s="370">
        <f>H327</f>
        <v>4000</v>
      </c>
      <c r="I270" s="371"/>
      <c r="J270" s="342"/>
      <c r="K270" s="370">
        <f>K327</f>
        <v>0</v>
      </c>
      <c r="L270" s="371"/>
      <c r="M270" s="342"/>
      <c r="N270" s="370">
        <f>N327</f>
        <v>0</v>
      </c>
      <c r="O270" s="371"/>
      <c r="P270" s="342"/>
      <c r="Q270" s="370">
        <f>Q327</f>
        <v>0</v>
      </c>
      <c r="R270" s="371"/>
      <c r="S270" s="342"/>
      <c r="T270" s="370">
        <f>T327</f>
        <v>0</v>
      </c>
      <c r="U270" s="371"/>
      <c r="V270" s="342"/>
      <c r="W270" s="370">
        <f>W327</f>
        <v>0</v>
      </c>
      <c r="X270" s="371"/>
      <c r="Y270" s="342"/>
      <c r="Z270" s="370">
        <f>Z327</f>
        <v>0</v>
      </c>
      <c r="AA270" s="371"/>
      <c r="AB270" s="342"/>
      <c r="AC270" s="370">
        <f>AC327</f>
        <v>0</v>
      </c>
      <c r="AD270" s="371"/>
      <c r="AE270" s="342"/>
      <c r="AF270" s="370">
        <f t="shared" ref="AF270" si="288">AF327</f>
        <v>0</v>
      </c>
      <c r="AG270" s="371"/>
      <c r="AH270" s="342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70"/>
      <c r="AZ270" s="70"/>
    </row>
    <row r="271" spans="1:52" ht="12.75">
      <c r="A271" s="61"/>
      <c r="B271" s="568"/>
      <c r="C271" s="561"/>
      <c r="D271" s="373"/>
      <c r="E271" s="368">
        <f>E328</f>
        <v>0</v>
      </c>
      <c r="F271" s="369"/>
      <c r="G271" s="342"/>
      <c r="H271" s="368">
        <f>H328</f>
        <v>0</v>
      </c>
      <c r="I271" s="369"/>
      <c r="J271" s="342"/>
      <c r="K271" s="368">
        <f>K328</f>
        <v>0</v>
      </c>
      <c r="L271" s="369"/>
      <c r="M271" s="342"/>
      <c r="N271" s="368">
        <f>N328</f>
        <v>0</v>
      </c>
      <c r="O271" s="369"/>
      <c r="P271" s="342"/>
      <c r="Q271" s="368">
        <f>Q328</f>
        <v>0</v>
      </c>
      <c r="R271" s="369"/>
      <c r="S271" s="342"/>
      <c r="T271" s="368">
        <f>T328</f>
        <v>0</v>
      </c>
      <c r="U271" s="369"/>
      <c r="V271" s="342"/>
      <c r="W271" s="368">
        <f>W328</f>
        <v>0</v>
      </c>
      <c r="X271" s="369"/>
      <c r="Y271" s="342"/>
      <c r="Z271" s="368">
        <f>Z328</f>
        <v>0</v>
      </c>
      <c r="AA271" s="369"/>
      <c r="AB271" s="342"/>
      <c r="AC271" s="368">
        <f>AC328</f>
        <v>0</v>
      </c>
      <c r="AD271" s="369"/>
      <c r="AE271" s="342"/>
      <c r="AF271" s="368">
        <f t="shared" ref="AF271" si="289">AF328</f>
        <v>0</v>
      </c>
      <c r="AG271" s="369"/>
      <c r="AH271" s="342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70"/>
      <c r="AZ271" s="70"/>
    </row>
    <row r="272" spans="1:52" ht="15">
      <c r="A272" s="61"/>
      <c r="B272" s="556"/>
      <c r="C272" s="562"/>
      <c r="D272" s="378" t="s">
        <v>128</v>
      </c>
      <c r="E272" s="379">
        <f>E329</f>
        <v>291875.69363455544</v>
      </c>
      <c r="F272" s="371"/>
      <c r="G272" s="342"/>
      <c r="H272" s="379">
        <f>H329</f>
        <v>282508.40834710654</v>
      </c>
      <c r="I272" s="371"/>
      <c r="J272" s="342"/>
      <c r="K272" s="379">
        <f>K329</f>
        <v>276276.40834710654</v>
      </c>
      <c r="L272" s="371"/>
      <c r="M272" s="342"/>
      <c r="N272" s="379">
        <f>N329</f>
        <v>252161.50076013434</v>
      </c>
      <c r="O272" s="371"/>
      <c r="P272" s="342"/>
      <c r="Q272" s="379">
        <f>Q329</f>
        <v>242783.29326445604</v>
      </c>
      <c r="R272" s="371"/>
      <c r="S272" s="342"/>
      <c r="T272" s="379">
        <f>T329</f>
        <v>215002.79544050459</v>
      </c>
      <c r="U272" s="371"/>
      <c r="V272" s="342"/>
      <c r="W272" s="379">
        <f>W329</f>
        <v>201391.2646163124</v>
      </c>
      <c r="X272" s="371"/>
      <c r="Y272" s="342"/>
      <c r="Z272" s="379">
        <f>Z329</f>
        <v>185526.08860824915</v>
      </c>
      <c r="AA272" s="371"/>
      <c r="AB272" s="342"/>
      <c r="AC272" s="379">
        <f>AC329</f>
        <v>174701.17039373406</v>
      </c>
      <c r="AD272" s="371"/>
      <c r="AE272" s="342"/>
      <c r="AF272" s="379">
        <f t="shared" ref="AF272" si="290">AF329</f>
        <v>144131.76008063206</v>
      </c>
      <c r="AG272" s="371"/>
      <c r="AH272" s="342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70"/>
      <c r="AZ272" s="70"/>
    </row>
    <row r="273" spans="1:52" ht="15">
      <c r="A273" s="61"/>
      <c r="B273" s="565">
        <v>440</v>
      </c>
      <c r="C273" s="563"/>
      <c r="D273" s="373" t="s">
        <v>93</v>
      </c>
      <c r="E273" s="612">
        <v>0</v>
      </c>
      <c r="F273" s="381">
        <f t="shared" ref="F273:F278" si="291">F330</f>
        <v>0</v>
      </c>
      <c r="G273" s="342"/>
      <c r="H273" s="612">
        <v>0</v>
      </c>
      <c r="I273" s="381">
        <f t="shared" ref="I273:I278" si="292">I330</f>
        <v>0</v>
      </c>
      <c r="J273" s="342"/>
      <c r="K273" s="612">
        <v>0</v>
      </c>
      <c r="L273" s="381">
        <f t="shared" ref="L273:L278" si="293">L330</f>
        <v>0</v>
      </c>
      <c r="M273" s="342"/>
      <c r="N273" s="612">
        <v>0</v>
      </c>
      <c r="O273" s="381">
        <f t="shared" ref="O273:O278" si="294">O330</f>
        <v>0</v>
      </c>
      <c r="P273" s="342"/>
      <c r="Q273" s="612">
        <v>0</v>
      </c>
      <c r="R273" s="381">
        <f t="shared" ref="R273:R278" si="295">R330</f>
        <v>0</v>
      </c>
      <c r="S273" s="342"/>
      <c r="T273" s="612">
        <v>0</v>
      </c>
      <c r="U273" s="381">
        <f t="shared" ref="U273:U278" si="296">U330</f>
        <v>0</v>
      </c>
      <c r="V273" s="342"/>
      <c r="W273" s="380">
        <v>0</v>
      </c>
      <c r="X273" s="381">
        <f t="shared" ref="X273:X278" si="297">X330</f>
        <v>0</v>
      </c>
      <c r="Y273" s="342"/>
      <c r="Z273" s="380">
        <v>0</v>
      </c>
      <c r="AA273" s="381">
        <f t="shared" ref="AA273:AA278" si="298">AA330</f>
        <v>0</v>
      </c>
      <c r="AB273" s="342"/>
      <c r="AC273" s="380">
        <v>0</v>
      </c>
      <c r="AD273" s="381">
        <f t="shared" ref="AD273:AD278" si="299">AD330</f>
        <v>0</v>
      </c>
      <c r="AE273" s="342"/>
      <c r="AF273" s="380">
        <v>0</v>
      </c>
      <c r="AG273" s="381">
        <f t="shared" ref="AG273" si="300">AG330</f>
        <v>0</v>
      </c>
      <c r="AH273" s="342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70"/>
      <c r="AY273" s="70"/>
    </row>
    <row r="274" spans="1:52" ht="12.75">
      <c r="A274" s="61"/>
      <c r="B274" s="556">
        <v>502</v>
      </c>
      <c r="C274" s="645">
        <v>0.16</v>
      </c>
      <c r="D274" s="370" t="s">
        <v>129</v>
      </c>
      <c r="E274" s="370"/>
      <c r="F274" s="382">
        <f t="shared" si="291"/>
        <v>-42828.110981528873</v>
      </c>
      <c r="G274" s="342"/>
      <c r="H274" s="370"/>
      <c r="I274" s="382">
        <f t="shared" si="292"/>
        <v>-41681.345335537051</v>
      </c>
      <c r="J274" s="342"/>
      <c r="K274" s="370"/>
      <c r="L274" s="382">
        <f t="shared" si="293"/>
        <v>-41681.345335537051</v>
      </c>
      <c r="M274" s="342"/>
      <c r="N274" s="370"/>
      <c r="O274" s="382">
        <f t="shared" si="294"/>
        <v>-37822.960121621494</v>
      </c>
      <c r="P274" s="342"/>
      <c r="Q274" s="370"/>
      <c r="R274" s="382">
        <f t="shared" si="295"/>
        <v>-36322.446922312964</v>
      </c>
      <c r="S274" s="342"/>
      <c r="T274" s="370"/>
      <c r="U274" s="382">
        <f t="shared" si="296"/>
        <v>-32035.327270480735</v>
      </c>
      <c r="V274" s="342"/>
      <c r="W274" s="370"/>
      <c r="X274" s="382">
        <f t="shared" si="297"/>
        <v>-29857.482338609985</v>
      </c>
      <c r="Y274" s="342"/>
      <c r="Z274" s="370"/>
      <c r="AA274" s="382">
        <f t="shared" si="298"/>
        <v>-27713.934177319865</v>
      </c>
      <c r="AB274" s="342"/>
      <c r="AC274" s="370"/>
      <c r="AD274" s="382">
        <f t="shared" si="299"/>
        <v>-25981.947262997452</v>
      </c>
      <c r="AE274" s="342"/>
      <c r="AF274" s="370"/>
      <c r="AG274" s="382">
        <f>AG331</f>
        <v>-21435.481612901131</v>
      </c>
      <c r="AH274" s="342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70"/>
      <c r="AZ274" s="70"/>
    </row>
    <row r="275" spans="1:52" ht="12.75">
      <c r="A275" s="61"/>
      <c r="B275" s="556">
        <v>505</v>
      </c>
      <c r="C275" s="556">
        <v>0.03</v>
      </c>
      <c r="D275" s="370" t="s">
        <v>130</v>
      </c>
      <c r="E275" s="370"/>
      <c r="F275" s="382">
        <f t="shared" si="291"/>
        <v>-8030.2708090366632</v>
      </c>
      <c r="G275" s="342"/>
      <c r="H275" s="370"/>
      <c r="I275" s="382">
        <f t="shared" si="292"/>
        <v>-7815.2522504131966</v>
      </c>
      <c r="J275" s="342"/>
      <c r="K275" s="370"/>
      <c r="L275" s="382">
        <f t="shared" si="293"/>
        <v>-7815.2522504131966</v>
      </c>
      <c r="M275" s="342"/>
      <c r="N275" s="370"/>
      <c r="O275" s="382">
        <f t="shared" si="294"/>
        <v>-7091.8050228040302</v>
      </c>
      <c r="P275" s="342"/>
      <c r="Q275" s="370"/>
      <c r="R275" s="382">
        <f t="shared" si="295"/>
        <v>-6810.4587979336811</v>
      </c>
      <c r="S275" s="342"/>
      <c r="T275" s="370"/>
      <c r="U275" s="382">
        <f t="shared" si="296"/>
        <v>-6006.6238632151371</v>
      </c>
      <c r="V275" s="342"/>
      <c r="W275" s="370"/>
      <c r="X275" s="382">
        <f t="shared" si="297"/>
        <v>-5598.277938489372</v>
      </c>
      <c r="Y275" s="342"/>
      <c r="Z275" s="370"/>
      <c r="AA275" s="382">
        <f t="shared" si="298"/>
        <v>-5196.3626582474744</v>
      </c>
      <c r="AB275" s="342"/>
      <c r="AC275" s="370"/>
      <c r="AD275" s="382">
        <f t="shared" si="299"/>
        <v>-4871.6151118120215</v>
      </c>
      <c r="AE275" s="342"/>
      <c r="AF275" s="370"/>
      <c r="AG275" s="382">
        <f t="shared" ref="AG275" si="301">AG332</f>
        <v>-4019.1528024189615</v>
      </c>
      <c r="AH275" s="342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70"/>
      <c r="AY275" s="70"/>
    </row>
    <row r="276" spans="1:52" ht="12.75">
      <c r="A276" s="61"/>
      <c r="B276" s="569">
        <v>332</v>
      </c>
      <c r="C276" s="595">
        <v>0</v>
      </c>
      <c r="D276" s="368" t="s">
        <v>97</v>
      </c>
      <c r="E276" s="368"/>
      <c r="F276" s="381">
        <f t="shared" si="291"/>
        <v>0</v>
      </c>
      <c r="G276" s="342"/>
      <c r="H276" s="368"/>
      <c r="I276" s="381">
        <f t="shared" si="292"/>
        <v>0</v>
      </c>
      <c r="J276" s="342"/>
      <c r="K276" s="368"/>
      <c r="L276" s="381">
        <f t="shared" si="293"/>
        <v>0</v>
      </c>
      <c r="M276" s="342"/>
      <c r="N276" s="368"/>
      <c r="O276" s="381">
        <f t="shared" si="294"/>
        <v>0</v>
      </c>
      <c r="P276" s="342"/>
      <c r="Q276" s="368"/>
      <c r="R276" s="381">
        <f t="shared" si="295"/>
        <v>0</v>
      </c>
      <c r="S276" s="342"/>
      <c r="T276" s="368"/>
      <c r="U276" s="381">
        <f t="shared" si="296"/>
        <v>0</v>
      </c>
      <c r="V276" s="342"/>
      <c r="W276" s="368"/>
      <c r="X276" s="381">
        <f t="shared" si="297"/>
        <v>0</v>
      </c>
      <c r="Y276" s="342"/>
      <c r="Z276" s="368"/>
      <c r="AA276" s="381">
        <f t="shared" si="298"/>
        <v>0</v>
      </c>
      <c r="AB276" s="342"/>
      <c r="AC276" s="368"/>
      <c r="AD276" s="381">
        <f t="shared" si="299"/>
        <v>0</v>
      </c>
      <c r="AE276" s="342"/>
      <c r="AF276" s="368"/>
      <c r="AG276" s="381">
        <f t="shared" ref="AG276" si="302">AG333</f>
        <v>0</v>
      </c>
      <c r="AH276" s="342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70"/>
      <c r="AY276" s="70"/>
    </row>
    <row r="277" spans="1:52" ht="12.75">
      <c r="A277" s="61"/>
      <c r="B277" s="570" t="s">
        <v>98</v>
      </c>
      <c r="C277" s="596">
        <v>0</v>
      </c>
      <c r="D277" s="383"/>
      <c r="E277" s="384"/>
      <c r="F277" s="385">
        <f t="shared" si="291"/>
        <v>0</v>
      </c>
      <c r="G277" s="342"/>
      <c r="H277" s="384"/>
      <c r="I277" s="385">
        <f t="shared" si="292"/>
        <v>0</v>
      </c>
      <c r="J277" s="342"/>
      <c r="K277" s="384"/>
      <c r="L277" s="385">
        <f t="shared" si="293"/>
        <v>0</v>
      </c>
      <c r="M277" s="342"/>
      <c r="N277" s="384"/>
      <c r="O277" s="385">
        <f t="shared" si="294"/>
        <v>0</v>
      </c>
      <c r="P277" s="342"/>
      <c r="Q277" s="384"/>
      <c r="R277" s="385">
        <f t="shared" si="295"/>
        <v>0</v>
      </c>
      <c r="S277" s="342"/>
      <c r="T277" s="384"/>
      <c r="U277" s="385">
        <f t="shared" si="296"/>
        <v>0</v>
      </c>
      <c r="V277" s="342"/>
      <c r="W277" s="384"/>
      <c r="X277" s="385">
        <f t="shared" si="297"/>
        <v>0</v>
      </c>
      <c r="Y277" s="342"/>
      <c r="Z277" s="384"/>
      <c r="AA277" s="385">
        <f t="shared" si="298"/>
        <v>0</v>
      </c>
      <c r="AB277" s="342"/>
      <c r="AC277" s="384"/>
      <c r="AD277" s="385">
        <f t="shared" si="299"/>
        <v>0</v>
      </c>
      <c r="AE277" s="342"/>
      <c r="AF277" s="384"/>
      <c r="AG277" s="385">
        <f t="shared" ref="AG277" si="303">AG334</f>
        <v>0</v>
      </c>
      <c r="AH277" s="342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70"/>
      <c r="AY277" s="70"/>
    </row>
    <row r="278" spans="1:52" ht="15">
      <c r="A278" s="61"/>
      <c r="B278" s="386"/>
      <c r="C278" s="564"/>
      <c r="D278" s="387" t="s">
        <v>99</v>
      </c>
      <c r="E278" s="388"/>
      <c r="F278" s="389">
        <f t="shared" si="291"/>
        <v>-50858.381790565538</v>
      </c>
      <c r="G278" s="342"/>
      <c r="H278" s="388"/>
      <c r="I278" s="389">
        <f t="shared" si="292"/>
        <v>-49496.597585950251</v>
      </c>
      <c r="J278" s="342"/>
      <c r="K278" s="388"/>
      <c r="L278" s="389">
        <f t="shared" si="293"/>
        <v>-49496.597585950251</v>
      </c>
      <c r="M278" s="342"/>
      <c r="N278" s="388"/>
      <c r="O278" s="389">
        <f t="shared" si="294"/>
        <v>-44914.765144425524</v>
      </c>
      <c r="P278" s="342"/>
      <c r="Q278" s="388"/>
      <c r="R278" s="389">
        <f t="shared" si="295"/>
        <v>-43132.905720246643</v>
      </c>
      <c r="S278" s="342"/>
      <c r="T278" s="388"/>
      <c r="U278" s="389">
        <f t="shared" si="296"/>
        <v>-38041.951133695875</v>
      </c>
      <c r="V278" s="342"/>
      <c r="W278" s="388"/>
      <c r="X278" s="389">
        <f t="shared" si="297"/>
        <v>-35455.760277099354</v>
      </c>
      <c r="Y278" s="342"/>
      <c r="Z278" s="388"/>
      <c r="AA278" s="389">
        <f t="shared" si="298"/>
        <v>-32910.296835567337</v>
      </c>
      <c r="AB278" s="342"/>
      <c r="AC278" s="388"/>
      <c r="AD278" s="389">
        <f t="shared" si="299"/>
        <v>-30853.562374809473</v>
      </c>
      <c r="AE278" s="342"/>
      <c r="AF278" s="388"/>
      <c r="AG278" s="389">
        <f t="shared" ref="AG278" si="304">AG335</f>
        <v>-25454.634415320092</v>
      </c>
      <c r="AH278" s="342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70"/>
      <c r="AZ278" s="70"/>
    </row>
    <row r="279" spans="1:52" ht="12.75">
      <c r="A279" s="61"/>
      <c r="B279" s="390"/>
      <c r="C279" s="213"/>
      <c r="D279" s="61"/>
      <c r="E279" s="388"/>
      <c r="F279" s="388"/>
      <c r="G279" s="214"/>
      <c r="H279" s="388"/>
      <c r="I279" s="388"/>
      <c r="J279" s="214"/>
      <c r="K279" s="388"/>
      <c r="L279" s="388"/>
      <c r="M279" s="214"/>
      <c r="N279" s="388"/>
      <c r="O279" s="388"/>
      <c r="P279" s="214"/>
      <c r="Q279" s="388"/>
      <c r="R279" s="388"/>
      <c r="S279" s="214"/>
      <c r="T279" s="388"/>
      <c r="U279" s="388"/>
      <c r="V279" s="214"/>
      <c r="W279" s="388"/>
      <c r="X279" s="388"/>
      <c r="Y279" s="214"/>
      <c r="Z279" s="388"/>
      <c r="AA279" s="388"/>
      <c r="AB279" s="214"/>
      <c r="AC279" s="388"/>
      <c r="AD279" s="388"/>
      <c r="AE279" s="214"/>
      <c r="AF279" s="388"/>
      <c r="AG279" s="388"/>
      <c r="AH279" s="214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70"/>
      <c r="AY279" s="70"/>
    </row>
    <row r="280" spans="1:52">
      <c r="A280" s="61"/>
      <c r="B280" s="100"/>
      <c r="C280" s="61"/>
      <c r="D280" s="391"/>
      <c r="E280" s="392" t="str">
        <f t="shared" ref="E280:F280" si="305">E337</f>
        <v>Sueldo líquido</v>
      </c>
      <c r="F280" s="697">
        <f t="shared" si="305"/>
        <v>241017.31184398991</v>
      </c>
      <c r="G280" s="393"/>
      <c r="H280" s="392" t="str">
        <f t="shared" ref="H280:I280" si="306">H337</f>
        <v>Sueldo líquido</v>
      </c>
      <c r="I280" s="697">
        <f t="shared" si="306"/>
        <v>233011.81076115629</v>
      </c>
      <c r="J280" s="393"/>
      <c r="K280" s="392" t="str">
        <f t="shared" ref="K280:L280" si="307">K337</f>
        <v>Sueldo líquido</v>
      </c>
      <c r="L280" s="697">
        <f t="shared" si="307"/>
        <v>226779.81076115629</v>
      </c>
      <c r="M280" s="393"/>
      <c r="N280" s="392" t="str">
        <f t="shared" ref="N280:O280" si="308">N337</f>
        <v>Sueldo líquido</v>
      </c>
      <c r="O280" s="697">
        <f t="shared" si="308"/>
        <v>207246.73561570881</v>
      </c>
      <c r="P280" s="393"/>
      <c r="Q280" s="392" t="str">
        <f t="shared" ref="Q280:R280" si="309">Q337</f>
        <v>Sueldo líquido</v>
      </c>
      <c r="R280" s="697">
        <f t="shared" si="309"/>
        <v>199650.3875442094</v>
      </c>
      <c r="S280" s="393"/>
      <c r="T280" s="392" t="str">
        <f t="shared" ref="T280:U280" si="310">T337</f>
        <v>Sueldo líquido</v>
      </c>
      <c r="U280" s="697">
        <f t="shared" si="310"/>
        <v>176960.84430680872</v>
      </c>
      <c r="V280" s="393"/>
      <c r="W280" s="392" t="str">
        <f t="shared" ref="W280:X280" si="311">W337</f>
        <v>Sueldo líquido</v>
      </c>
      <c r="X280" s="697">
        <f t="shared" si="311"/>
        <v>165935.50433921305</v>
      </c>
      <c r="Y280" s="393"/>
      <c r="Z280" s="392" t="str">
        <f t="shared" ref="Z280:AA280" si="312">Z337</f>
        <v>Sueldo líquido</v>
      </c>
      <c r="AA280" s="697">
        <f t="shared" si="312"/>
        <v>152615.79177268181</v>
      </c>
      <c r="AB280" s="393"/>
      <c r="AC280" s="392" t="str">
        <f t="shared" ref="AC280:AD280" si="313">AC337</f>
        <v>Sueldo líquido</v>
      </c>
      <c r="AD280" s="697">
        <f t="shared" si="313"/>
        <v>143847.6080189246</v>
      </c>
      <c r="AE280" s="393"/>
      <c r="AF280" s="392" t="str">
        <f t="shared" ref="AF280:AG280" si="314">AF337</f>
        <v>Sueldo líquido</v>
      </c>
      <c r="AG280" s="697">
        <f t="shared" si="314"/>
        <v>118677.12566531196</v>
      </c>
      <c r="AH280" s="393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70"/>
      <c r="AZ280" s="70"/>
    </row>
    <row r="281" spans="1:52" ht="16.5" thickBot="1">
      <c r="A281" s="61"/>
      <c r="B281" s="100"/>
      <c r="C281" s="61"/>
      <c r="D281" s="69"/>
      <c r="E281" s="388"/>
      <c r="F281" s="614"/>
      <c r="G281" s="394"/>
      <c r="H281" s="388"/>
      <c r="I281" s="614"/>
      <c r="J281" s="394"/>
      <c r="K281" s="388"/>
      <c r="L281" s="614"/>
      <c r="M281" s="394"/>
      <c r="N281" s="388"/>
      <c r="O281" s="614"/>
      <c r="P281" s="394"/>
      <c r="Q281" s="388"/>
      <c r="R281" s="614"/>
      <c r="S281" s="394"/>
      <c r="T281" s="388"/>
      <c r="U281" s="614"/>
      <c r="V281" s="394"/>
      <c r="W281" s="388"/>
      <c r="X281" s="388"/>
      <c r="Y281" s="394"/>
      <c r="Z281" s="388"/>
      <c r="AA281" s="388"/>
      <c r="AB281" s="394"/>
      <c r="AC281" s="388"/>
      <c r="AD281" s="388"/>
      <c r="AE281" s="394"/>
      <c r="AF281" s="388"/>
      <c r="AG281" s="388"/>
      <c r="AH281" s="394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70"/>
      <c r="AZ281" s="70"/>
    </row>
    <row r="282" spans="1:52">
      <c r="A282" s="61"/>
      <c r="B282" s="133"/>
      <c r="C282" s="69"/>
      <c r="D282" s="395"/>
      <c r="E282" s="218" t="str">
        <f t="shared" ref="E282:F282" si="315">E339</f>
        <v>Aumento del mes</v>
      </c>
      <c r="F282" s="698">
        <f t="shared" si="315"/>
        <v>8005.5010828336235</v>
      </c>
      <c r="G282" s="396"/>
      <c r="H282" s="218" t="str">
        <f t="shared" ref="H282:I282" si="316">H339</f>
        <v>Aumento del mes</v>
      </c>
      <c r="I282" s="698">
        <f t="shared" si="316"/>
        <v>6232</v>
      </c>
      <c r="J282" s="396"/>
      <c r="K282" s="218" t="str">
        <f t="shared" ref="K282:L282" si="317">K339</f>
        <v>Aumento del mes</v>
      </c>
      <c r="L282" s="698">
        <f t="shared" si="317"/>
        <v>19533.075145447481</v>
      </c>
      <c r="M282" s="396"/>
      <c r="N282" s="218" t="str">
        <f t="shared" ref="N282:O282" si="318">N339</f>
        <v>Aumento del mes</v>
      </c>
      <c r="O282" s="698">
        <f t="shared" si="318"/>
        <v>7596.3480714994075</v>
      </c>
      <c r="P282" s="396"/>
      <c r="Q282" s="218" t="str">
        <f t="shared" ref="Q282:R282" si="319">Q339</f>
        <v>Aumento del mes</v>
      </c>
      <c r="R282" s="698">
        <f t="shared" si="319"/>
        <v>22689.543237400678</v>
      </c>
      <c r="S282" s="396"/>
      <c r="T282" s="218" t="str">
        <f t="shared" ref="T282:U282" si="320">T339</f>
        <v>Aumento del mes</v>
      </c>
      <c r="U282" s="698">
        <f t="shared" si="320"/>
        <v>11025.339967595675</v>
      </c>
      <c r="V282" s="396"/>
      <c r="W282" s="218" t="str">
        <f t="shared" ref="W282:X282" si="321">W339</f>
        <v>Aumento del mes</v>
      </c>
      <c r="X282" s="698">
        <f t="shared" si="321"/>
        <v>13319.712566531234</v>
      </c>
      <c r="Y282" s="396"/>
      <c r="Z282" s="218" t="str">
        <f t="shared" ref="Z282:AA282" si="322">Z339</f>
        <v>Aumento del mes</v>
      </c>
      <c r="AA282" s="698">
        <f t="shared" si="322"/>
        <v>8768.1837537572137</v>
      </c>
      <c r="AB282" s="396"/>
      <c r="AC282" s="218" t="str">
        <f t="shared" ref="AC282:AD282" si="323">AC339</f>
        <v>Aumento del mes</v>
      </c>
      <c r="AD282" s="698">
        <f t="shared" si="323"/>
        <v>25170.482353612635</v>
      </c>
      <c r="AE282" s="396"/>
      <c r="AF282" s="218"/>
      <c r="AG282" s="219"/>
      <c r="AH282" s="396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70"/>
      <c r="AZ282" s="70"/>
    </row>
    <row r="283" spans="1:52" ht="16.5" thickBot="1">
      <c r="A283" s="61"/>
      <c r="B283" s="133"/>
      <c r="C283" s="69"/>
      <c r="D283" s="717"/>
      <c r="E283" s="721" t="str">
        <f t="shared" ref="E283:F283" si="324">E340</f>
        <v>Porc resp a anterior</v>
      </c>
      <c r="F283" s="578">
        <f t="shared" si="324"/>
        <v>3.4356632209684379E-2</v>
      </c>
      <c r="G283" s="396"/>
      <c r="H283" s="721" t="str">
        <f t="shared" ref="H283:I283" si="325">H340</f>
        <v>Porc resp a anterior</v>
      </c>
      <c r="I283" s="578">
        <f t="shared" si="325"/>
        <v>2.7480400389625164E-2</v>
      </c>
      <c r="J283" s="396"/>
      <c r="K283" s="721" t="str">
        <f t="shared" ref="K283:L283" si="326">K340</f>
        <v>Porc resp a anterior</v>
      </c>
      <c r="L283" s="578">
        <f t="shared" si="326"/>
        <v>9.4250339275148129E-2</v>
      </c>
      <c r="M283" s="396"/>
      <c r="N283" s="220" t="str">
        <f t="shared" ref="N283:O283" si="327">N340</f>
        <v>Porc resp a anterior</v>
      </c>
      <c r="O283" s="578">
        <f t="shared" si="327"/>
        <v>3.8048251069972588E-2</v>
      </c>
      <c r="P283" s="396"/>
      <c r="Q283" s="721" t="str">
        <f t="shared" ref="Q283:R283" si="328">Q340</f>
        <v>Porc resp a anterior</v>
      </c>
      <c r="R283" s="578">
        <f t="shared" si="328"/>
        <v>0.1282178739951213</v>
      </c>
      <c r="S283" s="396"/>
      <c r="T283" s="220" t="str">
        <f t="shared" ref="T283:U283" si="329">T340</f>
        <v>Porc resp a anterior</v>
      </c>
      <c r="U283" s="578">
        <f t="shared" si="329"/>
        <v>6.6443525823486005E-2</v>
      </c>
      <c r="V283" s="396"/>
      <c r="W283" s="220" t="str">
        <f t="shared" ref="W283:X283" si="330">W340</f>
        <v>Porc resp a anterior</v>
      </c>
      <c r="X283" s="578">
        <f t="shared" si="330"/>
        <v>8.7276109580918609E-2</v>
      </c>
      <c r="Y283" s="396"/>
      <c r="Z283" s="220" t="str">
        <f t="shared" ref="Z283:AA283" si="331">Z340</f>
        <v>Porc resp a anterior</v>
      </c>
      <c r="AA283" s="578">
        <f t="shared" si="331"/>
        <v>6.0954671923384857E-2</v>
      </c>
      <c r="AB283" s="396"/>
      <c r="AC283" s="220" t="str">
        <f t="shared" ref="AC283:AD283" si="332">AC340</f>
        <v>Porc resp a anterior</v>
      </c>
      <c r="AD283" s="578">
        <f t="shared" si="332"/>
        <v>0.21209211305468695</v>
      </c>
      <c r="AE283" s="396"/>
      <c r="AF283" s="220"/>
      <c r="AG283" s="221"/>
      <c r="AH283" s="396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70"/>
      <c r="AZ283" s="70"/>
    </row>
    <row r="284" spans="1:52" ht="16.5" thickBot="1">
      <c r="A284" s="61"/>
      <c r="B284" s="133"/>
      <c r="C284" s="69"/>
      <c r="D284" s="718"/>
      <c r="E284" s="722"/>
      <c r="F284" s="397"/>
      <c r="G284" s="396"/>
      <c r="H284" s="722"/>
      <c r="I284" s="397"/>
      <c r="J284" s="396"/>
      <c r="K284" s="722"/>
      <c r="L284" s="397"/>
      <c r="M284" s="396"/>
      <c r="N284" s="388"/>
      <c r="O284" s="397"/>
      <c r="P284" s="396"/>
      <c r="Q284" s="722"/>
      <c r="R284" s="397"/>
      <c r="S284" s="396"/>
      <c r="T284" s="388"/>
      <c r="U284" s="397"/>
      <c r="V284" s="396"/>
      <c r="W284" s="388"/>
      <c r="X284" s="397"/>
      <c r="Y284" s="396"/>
      <c r="Z284" s="388"/>
      <c r="AA284" s="397"/>
      <c r="AB284" s="396"/>
      <c r="AC284" s="388"/>
      <c r="AD284" s="397"/>
      <c r="AE284" s="396"/>
      <c r="AF284" s="388"/>
      <c r="AG284" s="397"/>
      <c r="AH284" s="396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70"/>
      <c r="AY284" s="70"/>
    </row>
    <row r="285" spans="1:52" ht="18">
      <c r="A285" s="61"/>
      <c r="B285" s="133"/>
      <c r="C285" s="69"/>
      <c r="D285" s="719"/>
      <c r="E285" s="723" t="str">
        <f t="shared" ref="E285:F285" si="333">E342</f>
        <v>Aumento acumulado</v>
      </c>
      <c r="F285" s="699">
        <f t="shared" si="333"/>
        <v>122340.18617867795</v>
      </c>
      <c r="G285" s="396"/>
      <c r="H285" s="723" t="str">
        <f t="shared" ref="H285:I285" si="334">H342</f>
        <v>Aumento acumulado</v>
      </c>
      <c r="I285" s="699">
        <f t="shared" si="334"/>
        <v>114334.68509584432</v>
      </c>
      <c r="J285" s="396"/>
      <c r="K285" s="723" t="str">
        <f t="shared" ref="K285:L285" si="335">K342</f>
        <v>Aumento acumulado</v>
      </c>
      <c r="L285" s="699">
        <f t="shared" si="335"/>
        <v>108102.68509584432</v>
      </c>
      <c r="M285" s="396"/>
      <c r="N285" s="224" t="str">
        <f t="shared" ref="N285:O285" si="336">N342</f>
        <v>Aumento acumulado</v>
      </c>
      <c r="O285" s="699">
        <f t="shared" si="336"/>
        <v>88569.609950396843</v>
      </c>
      <c r="P285" s="396"/>
      <c r="Q285" s="723" t="str">
        <f t="shared" ref="Q285:R285" si="337">Q342</f>
        <v>Aumento acumulado</v>
      </c>
      <c r="R285" s="699">
        <f t="shared" si="337"/>
        <v>80973.261878897436</v>
      </c>
      <c r="S285" s="396"/>
      <c r="T285" s="224" t="str">
        <f t="shared" ref="T285:U285" si="338">T342</f>
        <v>Aumento acumulado</v>
      </c>
      <c r="U285" s="699">
        <f t="shared" si="338"/>
        <v>58283.718641496758</v>
      </c>
      <c r="V285" s="396"/>
      <c r="W285" s="224" t="str">
        <f t="shared" ref="W285:X285" si="339">W342</f>
        <v>Aumento acumulado</v>
      </c>
      <c r="X285" s="699">
        <f t="shared" si="339"/>
        <v>47258.378673901083</v>
      </c>
      <c r="Y285" s="396"/>
      <c r="Z285" s="224" t="str">
        <f t="shared" ref="Z285:AA285" si="340">Z342</f>
        <v>Aumento acumulado</v>
      </c>
      <c r="AA285" s="699">
        <f t="shared" si="340"/>
        <v>33938.666107369849</v>
      </c>
      <c r="AB285" s="396"/>
      <c r="AC285" s="224" t="str">
        <f t="shared" ref="AC285:AD285" si="341">AC342</f>
        <v>Aumento acumulado</v>
      </c>
      <c r="AD285" s="699">
        <f t="shared" si="341"/>
        <v>25170.482353612635</v>
      </c>
      <c r="AE285" s="396"/>
      <c r="AF285" s="224"/>
      <c r="AG285" s="225"/>
      <c r="AH285" s="396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70"/>
      <c r="AY285" s="70"/>
    </row>
    <row r="286" spans="1:52" ht="16.5" thickBot="1">
      <c r="A286" s="61"/>
      <c r="B286" s="133"/>
      <c r="C286" s="69"/>
      <c r="D286" s="720"/>
      <c r="E286" s="724" t="str">
        <f t="shared" ref="E286:F286" si="342">E343</f>
        <v>Porcentaje acumulado</v>
      </c>
      <c r="F286" s="577">
        <f t="shared" si="342"/>
        <v>1.0308657670366603</v>
      </c>
      <c r="G286" s="396"/>
      <c r="H286" s="724" t="str">
        <f t="shared" ref="H286:I286" si="343">H343</f>
        <v>Porcentaje acumulado</v>
      </c>
      <c r="I286" s="577">
        <f t="shared" si="343"/>
        <v>0.96340962468442315</v>
      </c>
      <c r="J286" s="396"/>
      <c r="K286" s="724" t="str">
        <f t="shared" ref="K286:L286" si="344">K343</f>
        <v>Porcentaje acumulado</v>
      </c>
      <c r="L286" s="577">
        <f t="shared" si="344"/>
        <v>0.91089739905490119</v>
      </c>
      <c r="M286" s="396"/>
      <c r="N286" s="226" t="str">
        <f t="shared" ref="N286:O286" si="345">N343</f>
        <v>Porcentaje acumulado</v>
      </c>
      <c r="O286" s="577">
        <f t="shared" si="345"/>
        <v>0.74630733980006381</v>
      </c>
      <c r="P286" s="396"/>
      <c r="Q286" s="724" t="str">
        <f t="shared" ref="Q286:R286" si="346">Q343</f>
        <v>Porcentaje acumulado</v>
      </c>
      <c r="R286" s="577">
        <f t="shared" si="346"/>
        <v>0.68229881221807387</v>
      </c>
      <c r="S286" s="396"/>
      <c r="T286" s="226" t="str">
        <f t="shared" ref="T286:U286" si="347">T343</f>
        <v>Porcentaje acumulado</v>
      </c>
      <c r="U286" s="577">
        <f t="shared" si="347"/>
        <v>0.49111164695601028</v>
      </c>
      <c r="V286" s="396"/>
      <c r="W286" s="226" t="str">
        <f t="shared" ref="W286:X286" si="348">W343</f>
        <v>Porcentaje acumulado</v>
      </c>
      <c r="X286" s="577">
        <f t="shared" si="348"/>
        <v>0.39820966685001369</v>
      </c>
      <c r="Y286" s="396"/>
      <c r="Z286" s="226" t="str">
        <f t="shared" ref="Z286:AA286" si="349">Z343</f>
        <v>Porcentaje acumulado</v>
      </c>
      <c r="AA286" s="577">
        <f t="shared" si="349"/>
        <v>0.28597479014685773</v>
      </c>
      <c r="AB286" s="396"/>
      <c r="AC286" s="226" t="str">
        <f t="shared" ref="AC286:AD286" si="350">AC343</f>
        <v>Porcentaje acumulado</v>
      </c>
      <c r="AD286" s="577">
        <f t="shared" si="350"/>
        <v>0.21209211305468695</v>
      </c>
      <c r="AE286" s="396"/>
      <c r="AF286" s="226"/>
      <c r="AG286" s="227"/>
      <c r="AH286" s="396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70"/>
      <c r="AZ286" s="70"/>
    </row>
    <row r="287" spans="1:52" ht="16.5" thickBot="1">
      <c r="A287" s="61"/>
      <c r="B287" s="133"/>
      <c r="C287" s="69"/>
      <c r="D287" s="720"/>
      <c r="E287" s="722"/>
      <c r="F287" s="397"/>
      <c r="G287" s="396"/>
      <c r="H287" s="722"/>
      <c r="I287" s="397"/>
      <c r="J287" s="396"/>
      <c r="K287" s="722"/>
      <c r="L287" s="397"/>
      <c r="M287" s="396"/>
      <c r="N287" s="388"/>
      <c r="O287" s="397"/>
      <c r="P287" s="396"/>
      <c r="Q287" s="722"/>
      <c r="R287" s="397"/>
      <c r="S287" s="396"/>
      <c r="T287" s="388"/>
      <c r="U287" s="397"/>
      <c r="V287" s="396"/>
      <c r="W287" s="388"/>
      <c r="X287" s="397"/>
      <c r="Y287" s="396"/>
      <c r="Z287" s="388"/>
      <c r="AA287" s="397"/>
      <c r="AB287" s="396"/>
      <c r="AC287" s="388"/>
      <c r="AD287" s="397"/>
      <c r="AE287" s="396"/>
      <c r="AF287" s="388"/>
      <c r="AG287" s="397"/>
      <c r="AH287" s="396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70"/>
      <c r="AZ287" s="70"/>
    </row>
    <row r="288" spans="1:52">
      <c r="A288" s="61"/>
      <c r="B288" s="133"/>
      <c r="C288" s="69"/>
      <c r="D288" s="395"/>
      <c r="E288" s="228" t="str">
        <f t="shared" ref="E288:F288" si="351">E345</f>
        <v>Aumento provincial</v>
      </c>
      <c r="F288" s="747">
        <f t="shared" si="351"/>
        <v>108300.18617867795</v>
      </c>
      <c r="G288" s="396"/>
      <c r="H288" s="228" t="str">
        <f t="shared" ref="H288:I288" si="352">H345</f>
        <v>Aumento provincial</v>
      </c>
      <c r="I288" s="747">
        <f t="shared" si="352"/>
        <v>102494.68509584432</v>
      </c>
      <c r="J288" s="396"/>
      <c r="K288" s="228" t="str">
        <f t="shared" ref="K288:L288" si="353">K345</f>
        <v>Aumento provincial</v>
      </c>
      <c r="L288" s="747">
        <f t="shared" si="353"/>
        <v>102494.68509584432</v>
      </c>
      <c r="M288" s="396"/>
      <c r="N288" s="228" t="str">
        <f t="shared" ref="N288:O288" si="354">N345</f>
        <v>Aumento provincial</v>
      </c>
      <c r="O288" s="747">
        <f t="shared" si="354"/>
        <v>82961.609950396843</v>
      </c>
      <c r="P288" s="396"/>
      <c r="Q288" s="228" t="str">
        <f t="shared" ref="Q288:R288" si="355">Q345</f>
        <v>Aumento provincial</v>
      </c>
      <c r="R288" s="747">
        <f t="shared" si="355"/>
        <v>75365.261878897436</v>
      </c>
      <c r="S288" s="396"/>
      <c r="T288" s="228" t="str">
        <f t="shared" ref="T288:U288" si="356">T345</f>
        <v>Aumento provincial</v>
      </c>
      <c r="U288" s="747">
        <f t="shared" si="356"/>
        <v>53661.718641496758</v>
      </c>
      <c r="V288" s="396"/>
      <c r="W288" s="228" t="str">
        <f t="shared" ref="W288:X288" si="357">W345</f>
        <v>Aumento provincial</v>
      </c>
      <c r="X288" s="747">
        <f t="shared" si="357"/>
        <v>42636.378673901083</v>
      </c>
      <c r="Y288" s="396"/>
      <c r="Z288" s="228" t="str">
        <f t="shared" ref="Z288:AA288" si="358">Z345</f>
        <v>Aumento provincial</v>
      </c>
      <c r="AA288" s="747">
        <f t="shared" si="358"/>
        <v>31784.666107369849</v>
      </c>
      <c r="AB288" s="396"/>
      <c r="AC288" s="228" t="str">
        <f t="shared" ref="AC288:AD288" si="359">AC345</f>
        <v>Aumento provincial</v>
      </c>
      <c r="AD288" s="747">
        <f t="shared" si="359"/>
        <v>23016.482353612635</v>
      </c>
      <c r="AE288" s="396"/>
      <c r="AF288" s="228"/>
      <c r="AG288" s="229"/>
      <c r="AH288" s="396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70"/>
      <c r="AZ288" s="70"/>
    </row>
    <row r="289" spans="1:52" ht="16.5" thickBot="1">
      <c r="A289" s="61"/>
      <c r="B289" s="133"/>
      <c r="C289" s="69"/>
      <c r="D289" s="395"/>
      <c r="E289" s="230" t="str">
        <f t="shared" ref="E289:F289" si="360">E346</f>
        <v>Porcentaje provincial</v>
      </c>
      <c r="F289" s="748">
        <f t="shared" si="360"/>
        <v>0.99800087326950493</v>
      </c>
      <c r="G289" s="396"/>
      <c r="H289" s="230" t="str">
        <f t="shared" ref="H289:I289" si="361">H346</f>
        <v>Porcentaje provincial</v>
      </c>
      <c r="I289" s="748">
        <f t="shared" si="361"/>
        <v>0.94450239505935663</v>
      </c>
      <c r="J289" s="396"/>
      <c r="K289" s="230" t="str">
        <f t="shared" ref="K289:L289" si="362">K346</f>
        <v>Porcentaje provincial</v>
      </c>
      <c r="L289" s="748">
        <f t="shared" si="362"/>
        <v>0.94450239505935663</v>
      </c>
      <c r="M289" s="396"/>
      <c r="N289" s="230" t="str">
        <f t="shared" ref="N289:O289" si="363">N346</f>
        <v>Porcentaje provincial</v>
      </c>
      <c r="O289" s="748">
        <f t="shared" si="363"/>
        <v>0.76450246393612264</v>
      </c>
      <c r="P289" s="396"/>
      <c r="Q289" s="230" t="str">
        <f t="shared" ref="Q289:R289" si="364">Q346</f>
        <v>Porcentaje provincial</v>
      </c>
      <c r="R289" s="748">
        <f t="shared" si="364"/>
        <v>0.69450108834746183</v>
      </c>
      <c r="S289" s="396"/>
      <c r="T289" s="230" t="str">
        <f t="shared" ref="T289:U289" si="365">T346</f>
        <v>Porcentaje provincial</v>
      </c>
      <c r="U289" s="748">
        <f t="shared" si="365"/>
        <v>0.49449999999999994</v>
      </c>
      <c r="V289" s="396"/>
      <c r="W289" s="230" t="str">
        <f t="shared" ref="W289:X289" si="366">W346</f>
        <v>Porcentaje provincial</v>
      </c>
      <c r="X289" s="748">
        <f t="shared" si="366"/>
        <v>0.39290000000000014</v>
      </c>
      <c r="Y289" s="396"/>
      <c r="Z289" s="230" t="str">
        <f t="shared" ref="Z289:AA289" si="367">Z346</f>
        <v>Porcentaje provincial</v>
      </c>
      <c r="AA289" s="748">
        <f t="shared" si="367"/>
        <v>0.29289999999999977</v>
      </c>
      <c r="AB289" s="396"/>
      <c r="AC289" s="230" t="str">
        <f t="shared" ref="AC289:AD289" si="368">AC346</f>
        <v>Porcentaje provincial</v>
      </c>
      <c r="AD289" s="748">
        <f t="shared" si="368"/>
        <v>0.21209999999999971</v>
      </c>
      <c r="AE289" s="396"/>
      <c r="AF289" s="230"/>
      <c r="AG289" s="231"/>
      <c r="AH289" s="396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70"/>
      <c r="AZ289" s="70"/>
    </row>
    <row r="290" spans="1:52" ht="16.5" thickBot="1">
      <c r="A290" s="61"/>
      <c r="B290" s="133"/>
      <c r="C290" s="69"/>
      <c r="D290" s="395"/>
      <c r="E290" s="388"/>
      <c r="F290" s="388"/>
      <c r="G290" s="396"/>
      <c r="H290" s="388"/>
      <c r="I290" s="388"/>
      <c r="J290" s="396"/>
      <c r="K290" s="388"/>
      <c r="L290" s="388"/>
      <c r="M290" s="396"/>
      <c r="N290" s="388"/>
      <c r="O290" s="388"/>
      <c r="P290" s="396"/>
      <c r="Q290" s="388"/>
      <c r="R290" s="388"/>
      <c r="S290" s="396"/>
      <c r="T290" s="388"/>
      <c r="U290" s="388"/>
      <c r="V290" s="396"/>
      <c r="W290" s="388"/>
      <c r="X290" s="388"/>
      <c r="Y290" s="396"/>
      <c r="Z290" s="388"/>
      <c r="AA290" s="388"/>
      <c r="AB290" s="396"/>
      <c r="AC290" s="388"/>
      <c r="AD290" s="388"/>
      <c r="AE290" s="396"/>
      <c r="AF290" s="388"/>
      <c r="AG290" s="388"/>
      <c r="AH290" s="396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70"/>
      <c r="AZ290" s="70"/>
    </row>
    <row r="291" spans="1:52" ht="16.5" thickTop="1">
      <c r="A291" s="61"/>
      <c r="B291" s="133"/>
      <c r="C291" s="69"/>
      <c r="D291" s="395"/>
      <c r="E291" s="232" t="str">
        <f t="shared" ref="E291" si="369">E348</f>
        <v>Medio Aguinaldo</v>
      </c>
      <c r="F291" s="233"/>
      <c r="G291" s="396"/>
      <c r="H291" s="232" t="str">
        <f t="shared" ref="H291" si="370">H348</f>
        <v>Medio Aguinaldo</v>
      </c>
      <c r="I291" s="233"/>
      <c r="J291" s="396"/>
      <c r="K291" s="232" t="str">
        <f t="shared" ref="K291" si="371">K348</f>
        <v>Medio Aguinaldo</v>
      </c>
      <c r="L291" s="233"/>
      <c r="M291" s="396"/>
      <c r="N291" s="232" t="str">
        <f t="shared" ref="N291" si="372">N348</f>
        <v>Medio Aguinaldo</v>
      </c>
      <c r="O291" s="233"/>
      <c r="P291" s="396"/>
      <c r="Q291" s="232" t="str">
        <f t="shared" ref="Q291" si="373">Q348</f>
        <v>Medio Aguinaldo</v>
      </c>
      <c r="R291" s="233"/>
      <c r="S291" s="396"/>
      <c r="T291" s="232" t="str">
        <f t="shared" ref="T291" si="374">T348</f>
        <v>Medio Aguinaldo</v>
      </c>
      <c r="U291" s="233"/>
      <c r="V291" s="396"/>
      <c r="W291" s="232" t="str">
        <f t="shared" ref="W291" si="375">W348</f>
        <v>Medio Aguinaldo</v>
      </c>
      <c r="X291" s="233"/>
      <c r="Y291" s="396"/>
      <c r="Z291" s="232" t="str">
        <f t="shared" ref="Z291" si="376">Z348</f>
        <v>Medio Aguinaldo</v>
      </c>
      <c r="AA291" s="233"/>
      <c r="AB291" s="396"/>
      <c r="AC291" s="232" t="str">
        <f t="shared" ref="AC291" si="377">AC348</f>
        <v>Medio Aguinaldo</v>
      </c>
      <c r="AD291" s="233"/>
      <c r="AE291" s="396"/>
      <c r="AF291" s="232" t="str">
        <f t="shared" ref="AF291" si="378">AF348</f>
        <v>Medio Aguinaldo</v>
      </c>
      <c r="AG291" s="233"/>
      <c r="AH291" s="396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70"/>
      <c r="AY291" s="70"/>
    </row>
    <row r="292" spans="1:52">
      <c r="A292" s="61"/>
      <c r="B292" s="133"/>
      <c r="C292" s="69"/>
      <c r="D292" s="395"/>
      <c r="E292" s="234" t="str">
        <f t="shared" ref="E292:F292" si="379">E349</f>
        <v>código 100</v>
      </c>
      <c r="F292" s="235">
        <f t="shared" si="379"/>
        <v>133837.84681727772</v>
      </c>
      <c r="G292" s="396"/>
      <c r="H292" s="234" t="str">
        <f t="shared" ref="H292:I292" si="380">H349</f>
        <v>código 100</v>
      </c>
      <c r="I292" s="235">
        <f t="shared" si="380"/>
        <v>130254.20417355328</v>
      </c>
      <c r="J292" s="396"/>
      <c r="K292" s="234" t="str">
        <f t="shared" ref="K292:L292" si="381">K349</f>
        <v>código 100</v>
      </c>
      <c r="L292" s="235">
        <f t="shared" si="381"/>
        <v>130254.20417355328</v>
      </c>
      <c r="M292" s="396"/>
      <c r="N292" s="234" t="str">
        <f t="shared" ref="N292:O292" si="382">N349</f>
        <v>código 100</v>
      </c>
      <c r="O292" s="235">
        <f t="shared" si="382"/>
        <v>118196.75038006717</v>
      </c>
      <c r="P292" s="396"/>
      <c r="Q292" s="234" t="str">
        <f t="shared" ref="Q292:R292" si="383">Q349</f>
        <v>código 100</v>
      </c>
      <c r="R292" s="235">
        <f t="shared" si="383"/>
        <v>113507.64663222802</v>
      </c>
      <c r="S292" s="396"/>
      <c r="T292" s="234" t="str">
        <f t="shared" ref="T292:U292" si="384">T349</f>
        <v>código 100</v>
      </c>
      <c r="U292" s="235">
        <f t="shared" si="384"/>
        <v>100110.39772025229</v>
      </c>
      <c r="V292" s="396"/>
      <c r="W292" s="234" t="str">
        <f t="shared" ref="W292:X292" si="385">W349</f>
        <v>código 100</v>
      </c>
      <c r="X292" s="235">
        <f t="shared" si="385"/>
        <v>93304.6323081562</v>
      </c>
      <c r="Y292" s="396"/>
      <c r="Z292" s="234" t="str">
        <f t="shared" ref="Z292:AA292" si="386">Z349</f>
        <v>código 100</v>
      </c>
      <c r="AA292" s="235">
        <f t="shared" si="386"/>
        <v>86606.044304124574</v>
      </c>
      <c r="AB292" s="396"/>
      <c r="AC292" s="234" t="str">
        <f t="shared" ref="AC292:AD292" si="387">AC349</f>
        <v>código 100</v>
      </c>
      <c r="AD292" s="235">
        <f t="shared" si="387"/>
        <v>81193.585196867032</v>
      </c>
      <c r="AE292" s="396"/>
      <c r="AF292" s="234" t="str">
        <f t="shared" ref="AF292:AG292" si="388">AF349</f>
        <v>código 100</v>
      </c>
      <c r="AG292" s="235">
        <f t="shared" si="388"/>
        <v>66985.880040316028</v>
      </c>
      <c r="AH292" s="396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70"/>
      <c r="AY292" s="70"/>
    </row>
    <row r="293" spans="1:52">
      <c r="A293" s="61"/>
      <c r="B293" s="133"/>
      <c r="C293" s="69"/>
      <c r="D293" s="395"/>
      <c r="E293" s="398" t="str">
        <f t="shared" ref="E293:F293" si="389">E350</f>
        <v>código 186 (No remun)</v>
      </c>
      <c r="F293" s="399">
        <f t="shared" si="389"/>
        <v>0</v>
      </c>
      <c r="G293" s="396"/>
      <c r="H293" s="398" t="str">
        <f t="shared" ref="H293:I293" si="390">H350</f>
        <v>código 186 (No remun)</v>
      </c>
      <c r="I293" s="399">
        <f t="shared" si="390"/>
        <v>0</v>
      </c>
      <c r="J293" s="396"/>
      <c r="K293" s="398" t="str">
        <f t="shared" ref="K293:L293" si="391">K350</f>
        <v>código 186 (No remun)</v>
      </c>
      <c r="L293" s="399">
        <f t="shared" si="391"/>
        <v>0</v>
      </c>
      <c r="M293" s="396"/>
      <c r="N293" s="398" t="str">
        <f t="shared" ref="N293:O293" si="392">N350</f>
        <v>código 186 (No remun)</v>
      </c>
      <c r="O293" s="399">
        <f t="shared" si="392"/>
        <v>0</v>
      </c>
      <c r="P293" s="396"/>
      <c r="Q293" s="398" t="str">
        <f t="shared" ref="Q293:R293" si="393">Q350</f>
        <v>código 186 (No remun)</v>
      </c>
      <c r="R293" s="399">
        <f t="shared" si="393"/>
        <v>0</v>
      </c>
      <c r="S293" s="396"/>
      <c r="T293" s="398" t="str">
        <f t="shared" ref="T293:U293" si="394">T350</f>
        <v>código 186 (No remun)</v>
      </c>
      <c r="U293" s="399">
        <f t="shared" si="394"/>
        <v>0</v>
      </c>
      <c r="V293" s="396"/>
      <c r="W293" s="398" t="str">
        <f t="shared" ref="W293:X293" si="395">W350</f>
        <v>código 186 (No remun)</v>
      </c>
      <c r="X293" s="399">
        <f t="shared" si="395"/>
        <v>0</v>
      </c>
      <c r="Y293" s="396"/>
      <c r="Z293" s="398" t="str">
        <f t="shared" ref="Z293:AA293" si="396">Z350</f>
        <v>código 186 (No remun)</v>
      </c>
      <c r="AA293" s="399">
        <f t="shared" si="396"/>
        <v>0</v>
      </c>
      <c r="AB293" s="396"/>
      <c r="AC293" s="398" t="str">
        <f t="shared" ref="AC293:AD293" si="397">AC350</f>
        <v>código 186 (No remun)</v>
      </c>
      <c r="AD293" s="399">
        <f t="shared" si="397"/>
        <v>0</v>
      </c>
      <c r="AE293" s="396"/>
      <c r="AF293" s="398" t="str">
        <f t="shared" ref="AF293:AG293" si="398">AF350</f>
        <v>código 186 (No remun)</v>
      </c>
      <c r="AG293" s="399">
        <f t="shared" si="398"/>
        <v>0</v>
      </c>
      <c r="AH293" s="396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70"/>
      <c r="AY293" s="70"/>
    </row>
    <row r="294" spans="1:52">
      <c r="A294" s="61"/>
      <c r="B294" s="133"/>
      <c r="C294" s="69"/>
      <c r="D294" s="613"/>
      <c r="E294" s="234" t="str">
        <f t="shared" ref="E294:F294" si="399">E351</f>
        <v>Líquido</v>
      </c>
      <c r="F294" s="236">
        <f t="shared" si="399"/>
        <v>107605.6288410913</v>
      </c>
      <c r="G294" s="396"/>
      <c r="H294" s="234" t="str">
        <f t="shared" ref="H294:I295" si="400">H351</f>
        <v>Líquido</v>
      </c>
      <c r="I294" s="236">
        <f t="shared" si="400"/>
        <v>104724.38015553684</v>
      </c>
      <c r="J294" s="396"/>
      <c r="K294" s="234" t="str">
        <f t="shared" ref="K294:L294" si="401">K351</f>
        <v>Líquido</v>
      </c>
      <c r="L294" s="236">
        <f t="shared" si="401"/>
        <v>104724.38015553684</v>
      </c>
      <c r="M294" s="396"/>
      <c r="N294" s="234" t="str">
        <f t="shared" ref="N294:O294" si="402">N351</f>
        <v>Líquido</v>
      </c>
      <c r="O294" s="236">
        <f t="shared" si="402"/>
        <v>95030.187305574014</v>
      </c>
      <c r="P294" s="396"/>
      <c r="Q294" s="234" t="str">
        <f t="shared" ref="Q294:R295" si="403">Q351</f>
        <v>Líquido</v>
      </c>
      <c r="R294" s="236">
        <f t="shared" si="403"/>
        <v>91260.147892311332</v>
      </c>
      <c r="S294" s="396"/>
      <c r="T294" s="234" t="str">
        <f t="shared" ref="T294:U295" si="404">T351</f>
        <v>Líquido</v>
      </c>
      <c r="U294" s="236">
        <f t="shared" si="404"/>
        <v>80488.759767082855</v>
      </c>
      <c r="V294" s="396"/>
      <c r="W294" s="234" t="str">
        <f t="shared" ref="W294:X295" si="405">W351</f>
        <v>Líquido</v>
      </c>
      <c r="X294" s="236">
        <f t="shared" si="405"/>
        <v>75016.92437575759</v>
      </c>
      <c r="Y294" s="396"/>
      <c r="Z294" s="234" t="str">
        <f t="shared" ref="Z294:AA294" si="406">Z351</f>
        <v>Líquido</v>
      </c>
      <c r="AA294" s="236">
        <f t="shared" si="406"/>
        <v>69631.259620516168</v>
      </c>
      <c r="AB294" s="396"/>
      <c r="AC294" s="234" t="str">
        <f t="shared" ref="AC294:AD295" si="407">AC351</f>
        <v>Líquido</v>
      </c>
      <c r="AD294" s="236">
        <f t="shared" si="407"/>
        <v>65279.6424982811</v>
      </c>
      <c r="AE294" s="396"/>
      <c r="AF294" s="234" t="str">
        <f t="shared" ref="AF294:AG294" si="408">AF351</f>
        <v>Líquido</v>
      </c>
      <c r="AG294" s="236">
        <f t="shared" si="408"/>
        <v>53856.647552414091</v>
      </c>
      <c r="AH294" s="396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70"/>
      <c r="AY294" s="70"/>
    </row>
    <row r="295" spans="1:52">
      <c r="A295" s="61"/>
      <c r="B295" s="133"/>
      <c r="C295" s="69"/>
      <c r="D295" s="395"/>
      <c r="E295" s="398" t="str">
        <f t="shared" ref="E295" si="409">E352</f>
        <v>Descuentos con aguinaldo</v>
      </c>
      <c r="F295" s="399"/>
      <c r="G295" s="396"/>
      <c r="H295" s="398" t="str">
        <f t="shared" si="400"/>
        <v>Descuentos con aguinaldo</v>
      </c>
      <c r="I295" s="399"/>
      <c r="J295" s="396"/>
      <c r="K295" s="398" t="str">
        <f t="shared" ref="K295" si="410">K352</f>
        <v>Descuentos con aguinaldo</v>
      </c>
      <c r="L295" s="399"/>
      <c r="M295" s="396"/>
      <c r="N295" s="398" t="str">
        <f t="shared" ref="N295" si="411">N352</f>
        <v>Descuentos con aguinaldo</v>
      </c>
      <c r="O295" s="399"/>
      <c r="P295" s="396"/>
      <c r="Q295" s="398" t="str">
        <f t="shared" si="403"/>
        <v>Descuentos con aguinaldo</v>
      </c>
      <c r="R295" s="399"/>
      <c r="S295" s="396"/>
      <c r="T295" s="398" t="str">
        <f t="shared" si="404"/>
        <v>Descuentos con aguinaldo</v>
      </c>
      <c r="U295" s="399"/>
      <c r="V295" s="396"/>
      <c r="W295" s="398" t="str">
        <f t="shared" si="405"/>
        <v>Descuentos con aguinaldo</v>
      </c>
      <c r="X295" s="399"/>
      <c r="Y295" s="396"/>
      <c r="Z295" s="398" t="str">
        <f t="shared" ref="Z295" si="412">Z352</f>
        <v>Descuentos con aguinaldo</v>
      </c>
      <c r="AA295" s="399"/>
      <c r="AB295" s="396"/>
      <c r="AC295" s="398" t="str">
        <f t="shared" si="407"/>
        <v>Descuentos con aguinaldo</v>
      </c>
      <c r="AD295" s="399"/>
      <c r="AE295" s="396"/>
      <c r="AF295" s="398" t="str">
        <f t="shared" ref="AF295" si="413">AF352</f>
        <v>Descuentos con aguinaldo</v>
      </c>
      <c r="AG295" s="399"/>
      <c r="AH295" s="396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70"/>
      <c r="AY295" s="70"/>
    </row>
    <row r="296" spans="1:52">
      <c r="A296" s="61"/>
      <c r="B296" s="133"/>
      <c r="C296" s="69"/>
      <c r="D296" s="395"/>
      <c r="E296" s="234">
        <f t="shared" ref="E296:F296" si="414">E353</f>
        <v>502</v>
      </c>
      <c r="F296" s="236">
        <f t="shared" si="414"/>
        <v>-64242.166472293306</v>
      </c>
      <c r="G296" s="396"/>
      <c r="H296" s="234">
        <f t="shared" ref="H296:I296" si="415">H353</f>
        <v>502</v>
      </c>
      <c r="I296" s="236">
        <f t="shared" si="415"/>
        <v>-62522.01800330558</v>
      </c>
      <c r="J296" s="396"/>
      <c r="K296" s="234">
        <f t="shared" ref="K296:L296" si="416">K353</f>
        <v>502</v>
      </c>
      <c r="L296" s="236">
        <f t="shared" si="416"/>
        <v>-62522.01800330558</v>
      </c>
      <c r="M296" s="396"/>
      <c r="N296" s="234">
        <f t="shared" ref="N296:O296" si="417">N353</f>
        <v>502</v>
      </c>
      <c r="O296" s="236">
        <f t="shared" si="417"/>
        <v>-56734.440182432241</v>
      </c>
      <c r="P296" s="396"/>
      <c r="Q296" s="234">
        <f t="shared" ref="Q296:R296" si="418">Q353</f>
        <v>502</v>
      </c>
      <c r="R296" s="236">
        <f t="shared" si="418"/>
        <v>-54483.670383469442</v>
      </c>
      <c r="S296" s="396"/>
      <c r="T296" s="234">
        <f t="shared" ref="T296:U296" si="419">T353</f>
        <v>502</v>
      </c>
      <c r="U296" s="236">
        <f t="shared" si="419"/>
        <v>-48052.990905721104</v>
      </c>
      <c r="V296" s="396"/>
      <c r="W296" s="234">
        <f t="shared" ref="W296:X296" si="420">W353</f>
        <v>502</v>
      </c>
      <c r="X296" s="236">
        <f t="shared" si="420"/>
        <v>-44786.223507914976</v>
      </c>
      <c r="Y296" s="396"/>
      <c r="Z296" s="234">
        <f t="shared" ref="Z296:AA296" si="421">Z353</f>
        <v>502</v>
      </c>
      <c r="AA296" s="236">
        <f t="shared" si="421"/>
        <v>-41570.901265979795</v>
      </c>
      <c r="AB296" s="396"/>
      <c r="AC296" s="234">
        <f t="shared" ref="AC296:AD296" si="422">AC353</f>
        <v>502</v>
      </c>
      <c r="AD296" s="236">
        <f t="shared" si="422"/>
        <v>-38972.920894496179</v>
      </c>
      <c r="AE296" s="396"/>
      <c r="AF296" s="234">
        <f t="shared" ref="AF296:AG296" si="423">AF353</f>
        <v>502</v>
      </c>
      <c r="AG296" s="236">
        <f t="shared" si="423"/>
        <v>-32153.222419351692</v>
      </c>
      <c r="AH296" s="396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70"/>
      <c r="AY296" s="70"/>
    </row>
    <row r="297" spans="1:52">
      <c r="A297" s="61"/>
      <c r="B297" s="133"/>
      <c r="C297" s="69"/>
      <c r="D297" s="395"/>
      <c r="E297" s="234">
        <f t="shared" ref="E297:F297" si="424">E355</f>
        <v>505</v>
      </c>
      <c r="F297" s="236">
        <f t="shared" si="424"/>
        <v>-12045.406213554994</v>
      </c>
      <c r="G297" s="396"/>
      <c r="H297" s="234">
        <f t="shared" ref="H297:I297" si="425">H355</f>
        <v>505</v>
      </c>
      <c r="I297" s="236">
        <f t="shared" si="425"/>
        <v>-11722.878375619795</v>
      </c>
      <c r="J297" s="396"/>
      <c r="K297" s="234">
        <f t="shared" ref="K297:L297" si="426">K355</f>
        <v>505</v>
      </c>
      <c r="L297" s="236">
        <f t="shared" si="426"/>
        <v>-11722.878375619795</v>
      </c>
      <c r="M297" s="396"/>
      <c r="N297" s="234">
        <f t="shared" ref="N297:O297" si="427">N355</f>
        <v>505</v>
      </c>
      <c r="O297" s="236">
        <f t="shared" si="427"/>
        <v>-10637.707534206045</v>
      </c>
      <c r="P297" s="396"/>
      <c r="Q297" s="234">
        <f t="shared" ref="Q297:R297" si="428">Q355</f>
        <v>505</v>
      </c>
      <c r="R297" s="236">
        <f t="shared" si="428"/>
        <v>-10215.688196900521</v>
      </c>
      <c r="S297" s="396"/>
      <c r="T297" s="234">
        <f t="shared" ref="T297:U297" si="429">T355</f>
        <v>505</v>
      </c>
      <c r="U297" s="236">
        <f t="shared" si="429"/>
        <v>-9009.9357948227062</v>
      </c>
      <c r="V297" s="396"/>
      <c r="W297" s="234">
        <f t="shared" ref="W297:X297" si="430">W355</f>
        <v>505</v>
      </c>
      <c r="X297" s="236">
        <f t="shared" si="430"/>
        <v>-8397.4169077340575</v>
      </c>
      <c r="Y297" s="396"/>
      <c r="Z297" s="234">
        <f t="shared" ref="Z297:AA297" si="431">Z355</f>
        <v>505</v>
      </c>
      <c r="AA297" s="236">
        <f t="shared" si="431"/>
        <v>-7794.5439873712112</v>
      </c>
      <c r="AB297" s="396"/>
      <c r="AC297" s="234">
        <f t="shared" ref="AC297:AD297" si="432">AC355</f>
        <v>505</v>
      </c>
      <c r="AD297" s="236">
        <f t="shared" si="432"/>
        <v>-7307.4226677180322</v>
      </c>
      <c r="AE297" s="396"/>
      <c r="AF297" s="234">
        <f t="shared" ref="AF297:AG297" si="433">AF355</f>
        <v>505</v>
      </c>
      <c r="AG297" s="236">
        <f t="shared" si="433"/>
        <v>-6028.7292036284425</v>
      </c>
      <c r="AH297" s="396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70"/>
      <c r="AY297" s="70"/>
    </row>
    <row r="298" spans="1:52">
      <c r="A298" s="61"/>
      <c r="B298" s="133"/>
      <c r="C298" s="69"/>
      <c r="D298" s="395"/>
      <c r="E298" s="398"/>
      <c r="F298" s="399"/>
      <c r="G298" s="396"/>
      <c r="H298" s="398"/>
      <c r="I298" s="399"/>
      <c r="J298" s="396"/>
      <c r="K298" s="398"/>
      <c r="L298" s="399"/>
      <c r="M298" s="396"/>
      <c r="N298" s="398"/>
      <c r="O298" s="399"/>
      <c r="P298" s="396"/>
      <c r="Q298" s="398"/>
      <c r="R298" s="399"/>
      <c r="S298" s="396"/>
      <c r="T298" s="398"/>
      <c r="U298" s="399"/>
      <c r="V298" s="396"/>
      <c r="W298" s="398"/>
      <c r="X298" s="399"/>
      <c r="Y298" s="396"/>
      <c r="Z298" s="398"/>
      <c r="AA298" s="399"/>
      <c r="AB298" s="396"/>
      <c r="AC298" s="398"/>
      <c r="AD298" s="399"/>
      <c r="AE298" s="396"/>
      <c r="AF298" s="398"/>
      <c r="AG298" s="399"/>
      <c r="AH298" s="396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70"/>
      <c r="AY298" s="70"/>
    </row>
    <row r="299" spans="1:52">
      <c r="A299" s="61"/>
      <c r="B299" s="133"/>
      <c r="C299" s="69"/>
      <c r="D299" s="395"/>
      <c r="E299" s="234" t="str">
        <f t="shared" ref="E299" si="434">E357</f>
        <v>Sueldo líquido incluyendo aguinaldo</v>
      </c>
      <c r="F299" s="236"/>
      <c r="G299" s="396"/>
      <c r="H299" s="234" t="str">
        <f t="shared" ref="H299" si="435">H357</f>
        <v>Sueldo líquido incluyendo aguinaldo</v>
      </c>
      <c r="I299" s="236"/>
      <c r="J299" s="396"/>
      <c r="K299" s="234" t="str">
        <f t="shared" ref="K299" si="436">K357</f>
        <v>Sueldo líquido incluyendo aguinaldo</v>
      </c>
      <c r="L299" s="236"/>
      <c r="M299" s="396"/>
      <c r="N299" s="234" t="str">
        <f t="shared" ref="N299" si="437">N357</f>
        <v>Sueldo líquido incluyendo aguinaldo</v>
      </c>
      <c r="O299" s="236"/>
      <c r="P299" s="396"/>
      <c r="Q299" s="234" t="str">
        <f t="shared" ref="Q299" si="438">Q357</f>
        <v>Sueldo líquido incluyendo aguinaldo</v>
      </c>
      <c r="R299" s="236"/>
      <c r="S299" s="396"/>
      <c r="T299" s="234" t="str">
        <f t="shared" ref="T299" si="439">T357</f>
        <v>Sueldo líquido incluyendo aguinaldo</v>
      </c>
      <c r="U299" s="236"/>
      <c r="V299" s="396"/>
      <c r="W299" s="234" t="str">
        <f t="shared" ref="W299" si="440">W357</f>
        <v>Sueldo líquido incluyendo aguinaldo</v>
      </c>
      <c r="X299" s="236"/>
      <c r="Y299" s="396"/>
      <c r="Z299" s="234" t="str">
        <f t="shared" ref="Z299" si="441">Z357</f>
        <v>Sueldo líquido incluyendo aguinaldo</v>
      </c>
      <c r="AA299" s="236"/>
      <c r="AB299" s="396"/>
      <c r="AC299" s="234" t="str">
        <f t="shared" ref="AC299" si="442">AC357</f>
        <v>Sueldo líquido incluyendo aguinaldo</v>
      </c>
      <c r="AD299" s="236"/>
      <c r="AE299" s="396"/>
      <c r="AF299" s="234" t="str">
        <f t="shared" ref="AF299" si="443">AF357</f>
        <v>Sueldo líquido incluyendo aguinaldo</v>
      </c>
      <c r="AG299" s="236"/>
      <c r="AH299" s="396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70"/>
      <c r="AY299" s="70"/>
    </row>
    <row r="300" spans="1:52">
      <c r="A300" s="61"/>
      <c r="B300" s="133"/>
      <c r="C300" s="69"/>
      <c r="D300" s="395"/>
      <c r="E300" s="398"/>
      <c r="F300" s="400">
        <f t="shared" ref="F300" si="444">F358</f>
        <v>349425.96776598482</v>
      </c>
      <c r="G300" s="396"/>
      <c r="H300" s="398"/>
      <c r="I300" s="400">
        <f t="shared" ref="I300" si="445">I358</f>
        <v>338517.71614173439</v>
      </c>
      <c r="J300" s="396"/>
      <c r="K300" s="398"/>
      <c r="L300" s="400">
        <f t="shared" ref="L300" si="446">L358</f>
        <v>332285.71614173439</v>
      </c>
      <c r="M300" s="396"/>
      <c r="N300" s="398"/>
      <c r="O300" s="400">
        <f t="shared" ref="O300" si="447">O358</f>
        <v>302986.10342356324</v>
      </c>
      <c r="P300" s="396"/>
      <c r="Q300" s="398"/>
      <c r="R300" s="400">
        <f t="shared" ref="R300" si="448">R358</f>
        <v>291591.58131631406</v>
      </c>
      <c r="S300" s="396"/>
      <c r="T300" s="398"/>
      <c r="U300" s="400">
        <f t="shared" ref="U300" si="449">U358</f>
        <v>258050.26646021311</v>
      </c>
      <c r="V300" s="396"/>
      <c r="W300" s="398"/>
      <c r="X300" s="400">
        <f t="shared" ref="X300" si="450">X358</f>
        <v>241512.25650881953</v>
      </c>
      <c r="Y300" s="396"/>
      <c r="Z300" s="398"/>
      <c r="AA300" s="400">
        <f t="shared" ref="AA300" si="451">AA358</f>
        <v>222766.68765902275</v>
      </c>
      <c r="AB300" s="396"/>
      <c r="AC300" s="398"/>
      <c r="AD300" s="400">
        <f t="shared" ref="AD300" si="452">AD358</f>
        <v>209614.4120283869</v>
      </c>
      <c r="AE300" s="396"/>
      <c r="AF300" s="398"/>
      <c r="AG300" s="400">
        <f t="shared" ref="AG300" si="453">AG358</f>
        <v>172935.68849796796</v>
      </c>
      <c r="AH300" s="396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70"/>
      <c r="AY300" s="70"/>
    </row>
    <row r="301" spans="1:52">
      <c r="A301" s="61"/>
      <c r="B301" s="133"/>
      <c r="C301" s="69"/>
      <c r="D301" s="395"/>
      <c r="E301" s="401" t="str">
        <f t="shared" ref="E301" si="454">E359</f>
        <v>Aguinaldo de bolsillo</v>
      </c>
      <c r="F301" s="236"/>
      <c r="G301" s="396"/>
      <c r="H301" s="401" t="str">
        <f t="shared" ref="H301" si="455">H359</f>
        <v>Aguinaldo de bolsillo</v>
      </c>
      <c r="I301" s="236"/>
      <c r="J301" s="396"/>
      <c r="K301" s="401" t="str">
        <f t="shared" ref="K301" si="456">K359</f>
        <v>Aguinaldo de bolsillo</v>
      </c>
      <c r="L301" s="236"/>
      <c r="M301" s="396"/>
      <c r="N301" s="401" t="str">
        <f t="shared" ref="N301" si="457">N359</f>
        <v>Aguinaldo de bolsillo</v>
      </c>
      <c r="O301" s="236"/>
      <c r="P301" s="396"/>
      <c r="Q301" s="401" t="str">
        <f t="shared" ref="Q301" si="458">Q359</f>
        <v>Aguinaldo de bolsillo</v>
      </c>
      <c r="R301" s="236"/>
      <c r="S301" s="396"/>
      <c r="T301" s="401" t="str">
        <f t="shared" ref="T301" si="459">T359</f>
        <v>Aguinaldo de bolsillo</v>
      </c>
      <c r="U301" s="236"/>
      <c r="V301" s="396"/>
      <c r="W301" s="401" t="str">
        <f t="shared" ref="W301" si="460">W359</f>
        <v>Aguinaldo de bolsillo</v>
      </c>
      <c r="X301" s="236"/>
      <c r="Y301" s="396"/>
      <c r="Z301" s="401" t="str">
        <f t="shared" ref="Z301" si="461">Z359</f>
        <v>Aguinaldo de bolsillo</v>
      </c>
      <c r="AA301" s="236"/>
      <c r="AB301" s="396"/>
      <c r="AC301" s="401" t="str">
        <f t="shared" ref="AC301" si="462">AC359</f>
        <v>Aguinaldo de bolsillo</v>
      </c>
      <c r="AD301" s="236"/>
      <c r="AE301" s="396"/>
      <c r="AF301" s="401" t="str">
        <f t="shared" ref="AF301" si="463">AF359</f>
        <v>Aguinaldo de bolsillo</v>
      </c>
      <c r="AG301" s="236"/>
      <c r="AH301" s="396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70"/>
      <c r="AY301" s="70"/>
    </row>
    <row r="302" spans="1:52" ht="16.5" thickBot="1">
      <c r="A302" s="61"/>
      <c r="B302" s="133"/>
      <c r="C302" s="69"/>
      <c r="D302" s="395"/>
      <c r="E302" s="402"/>
      <c r="F302" s="403">
        <f t="shared" ref="F302" si="464">F360</f>
        <v>108408.65592199491</v>
      </c>
      <c r="G302" s="396"/>
      <c r="H302" s="402"/>
      <c r="I302" s="403">
        <f t="shared" ref="I302" si="465">I360</f>
        <v>105505.9053805781</v>
      </c>
      <c r="J302" s="396"/>
      <c r="K302" s="402"/>
      <c r="L302" s="403">
        <f t="shared" ref="L302" si="466">L360</f>
        <v>105505.9053805781</v>
      </c>
      <c r="M302" s="396"/>
      <c r="N302" s="402"/>
      <c r="O302" s="403">
        <f t="shared" ref="O302" si="467">O360</f>
        <v>95739.367807854433</v>
      </c>
      <c r="P302" s="396"/>
      <c r="Q302" s="402"/>
      <c r="R302" s="403">
        <f t="shared" ref="R302" si="468">R360</f>
        <v>91941.193772104656</v>
      </c>
      <c r="S302" s="396"/>
      <c r="T302" s="402"/>
      <c r="U302" s="403">
        <f t="shared" ref="U302" si="469">U360</f>
        <v>81089.42215340439</v>
      </c>
      <c r="V302" s="396"/>
      <c r="W302" s="402"/>
      <c r="X302" s="403">
        <f t="shared" ref="X302" si="470">X360</f>
        <v>75576.75216960648</v>
      </c>
      <c r="Y302" s="396"/>
      <c r="Z302" s="402"/>
      <c r="AA302" s="403">
        <f t="shared" ref="AA302" si="471">AA360</f>
        <v>70150.895886340935</v>
      </c>
      <c r="AB302" s="396"/>
      <c r="AC302" s="402"/>
      <c r="AD302" s="403">
        <f t="shared" ref="AD302" si="472">AD360</f>
        <v>65766.804009462299</v>
      </c>
      <c r="AE302" s="396"/>
      <c r="AF302" s="402"/>
      <c r="AG302" s="403">
        <f t="shared" ref="AG302" si="473">AG360</f>
        <v>54258.562832655996</v>
      </c>
      <c r="AH302" s="396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70"/>
      <c r="AY302" s="70"/>
    </row>
    <row r="303" spans="1:52" ht="16.5" thickTop="1">
      <c r="A303" s="61"/>
      <c r="B303" s="133"/>
      <c r="C303" s="69"/>
      <c r="D303" s="395"/>
      <c r="E303" s="395"/>
      <c r="F303" s="395"/>
      <c r="G303" s="396"/>
      <c r="H303" s="395"/>
      <c r="I303" s="395"/>
      <c r="J303" s="396"/>
      <c r="K303" s="395"/>
      <c r="L303" s="395"/>
      <c r="M303" s="396"/>
      <c r="N303" s="395"/>
      <c r="O303" s="395"/>
      <c r="P303" s="396"/>
      <c r="Q303" s="395"/>
      <c r="R303" s="395"/>
      <c r="S303" s="396"/>
      <c r="T303" s="395"/>
      <c r="U303" s="395"/>
      <c r="V303" s="396"/>
      <c r="W303" s="395"/>
      <c r="X303" s="395"/>
      <c r="Y303" s="396"/>
      <c r="Z303" s="395"/>
      <c r="AA303" s="395"/>
      <c r="AB303" s="396"/>
      <c r="AC303" s="395"/>
      <c r="AD303" s="395"/>
      <c r="AE303" s="396"/>
      <c r="AF303" s="395"/>
      <c r="AG303" s="395"/>
      <c r="AH303" s="396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70"/>
      <c r="AZ303" s="70"/>
    </row>
    <row r="304" spans="1:52" ht="18" hidden="1">
      <c r="A304" s="61"/>
      <c r="B304" s="61"/>
      <c r="C304" s="61"/>
      <c r="D304" s="61"/>
      <c r="E304" s="40">
        <v>44927</v>
      </c>
      <c r="F304" s="823" t="s">
        <v>539</v>
      </c>
      <c r="G304" s="193"/>
      <c r="H304" s="40">
        <v>44896</v>
      </c>
      <c r="I304" s="187" t="s">
        <v>533</v>
      </c>
      <c r="J304" s="193"/>
      <c r="K304" s="40">
        <v>44866</v>
      </c>
      <c r="L304" s="187" t="s">
        <v>519</v>
      </c>
      <c r="M304" s="193"/>
      <c r="N304" s="40">
        <v>44835</v>
      </c>
      <c r="O304" s="187" t="s">
        <v>520</v>
      </c>
      <c r="P304" s="193"/>
      <c r="Q304" s="40">
        <v>44805</v>
      </c>
      <c r="R304" s="187" t="s">
        <v>516</v>
      </c>
      <c r="S304" s="193"/>
      <c r="T304" s="40">
        <v>44774</v>
      </c>
      <c r="U304" s="689" t="s">
        <v>510</v>
      </c>
      <c r="V304" s="193"/>
      <c r="W304" s="40">
        <v>44743</v>
      </c>
      <c r="X304" s="187" t="s">
        <v>495</v>
      </c>
      <c r="Y304" s="193"/>
      <c r="Z304" s="40">
        <v>44682</v>
      </c>
      <c r="AA304" s="187" t="s">
        <v>494</v>
      </c>
      <c r="AB304" s="193"/>
      <c r="AC304" s="40">
        <v>44621</v>
      </c>
      <c r="AD304" s="187" t="s">
        <v>493</v>
      </c>
      <c r="AE304" s="196"/>
      <c r="AF304" s="40">
        <v>44562</v>
      </c>
      <c r="AG304" s="588">
        <v>8.8999999999999996E-2</v>
      </c>
      <c r="AH304" s="214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70"/>
      <c r="AZ304" s="70"/>
    </row>
    <row r="305" spans="1:52" ht="12.75" hidden="1">
      <c r="A305" s="61"/>
      <c r="B305" s="404"/>
      <c r="C305" s="404"/>
      <c r="D305" s="404"/>
      <c r="E305" s="404"/>
      <c r="F305" s="404"/>
      <c r="G305" s="405"/>
      <c r="H305" s="404"/>
      <c r="I305" s="404"/>
      <c r="J305" s="405"/>
      <c r="K305" s="404"/>
      <c r="L305" s="404"/>
      <c r="M305" s="405"/>
      <c r="N305" s="404"/>
      <c r="O305" s="404"/>
      <c r="P305" s="405"/>
      <c r="Q305" s="404"/>
      <c r="R305" s="404"/>
      <c r="S305" s="405"/>
      <c r="T305" s="404"/>
      <c r="U305" s="404"/>
      <c r="V305" s="405"/>
      <c r="W305" s="404"/>
      <c r="X305" s="404"/>
      <c r="Y305" s="405"/>
      <c r="Z305" s="404"/>
      <c r="AA305" s="404"/>
      <c r="AB305" s="405"/>
      <c r="AC305" s="404"/>
      <c r="AD305" s="404"/>
      <c r="AE305" s="405"/>
      <c r="AF305" s="404"/>
      <c r="AG305" s="404"/>
      <c r="AH305" s="405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70"/>
      <c r="AZ305" s="70"/>
    </row>
    <row r="306" spans="1:52" ht="12.75" hidden="1">
      <c r="A306" s="61"/>
      <c r="B306" s="404"/>
      <c r="C306" s="404"/>
      <c r="D306" s="404"/>
      <c r="E306" s="404">
        <f>5141/15</f>
        <v>342.73333333333335</v>
      </c>
      <c r="F306" s="404"/>
      <c r="G306" s="405"/>
      <c r="H306" s="404">
        <f>5141/15</f>
        <v>342.73333333333335</v>
      </c>
      <c r="I306" s="404"/>
      <c r="J306" s="405"/>
      <c r="K306" s="404">
        <f>5141/15</f>
        <v>342.73333333333335</v>
      </c>
      <c r="L306" s="404"/>
      <c r="M306" s="405"/>
      <c r="N306" s="404">
        <f>5141/15</f>
        <v>342.73333333333335</v>
      </c>
      <c r="O306" s="404"/>
      <c r="P306" s="405"/>
      <c r="Q306" s="404">
        <f>5141/15</f>
        <v>342.73333333333335</v>
      </c>
      <c r="R306" s="404"/>
      <c r="S306" s="405"/>
      <c r="T306" s="404">
        <f>5141/15</f>
        <v>342.73333333333335</v>
      </c>
      <c r="U306" s="404"/>
      <c r="V306" s="405"/>
      <c r="W306" s="404"/>
      <c r="X306" s="404"/>
      <c r="Y306" s="405"/>
      <c r="Z306" s="404"/>
      <c r="AA306" s="404"/>
      <c r="AB306" s="405"/>
      <c r="AC306" s="404"/>
      <c r="AD306" s="404"/>
      <c r="AE306" s="405"/>
      <c r="AF306" s="404"/>
      <c r="AG306" s="404"/>
      <c r="AH306" s="405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70"/>
      <c r="AZ306" s="70"/>
    </row>
    <row r="307" spans="1:52" ht="12.75" hidden="1">
      <c r="A307" s="61"/>
      <c r="B307" s="404"/>
      <c r="C307" s="404"/>
      <c r="D307" s="404"/>
      <c r="E307" s="404">
        <f>5141*2</f>
        <v>10282</v>
      </c>
      <c r="F307" s="404"/>
      <c r="G307" s="405"/>
      <c r="H307" s="404">
        <f>5141*2</f>
        <v>10282</v>
      </c>
      <c r="I307" s="404"/>
      <c r="J307" s="405"/>
      <c r="K307" s="404">
        <f>5141*2</f>
        <v>10282</v>
      </c>
      <c r="L307" s="404"/>
      <c r="M307" s="405"/>
      <c r="N307" s="404">
        <f>5141*2</f>
        <v>10282</v>
      </c>
      <c r="O307" s="404"/>
      <c r="P307" s="405"/>
      <c r="Q307" s="404">
        <f>5141*2</f>
        <v>10282</v>
      </c>
      <c r="R307" s="404"/>
      <c r="S307" s="405"/>
      <c r="T307" s="404">
        <f>5141*2</f>
        <v>10282</v>
      </c>
      <c r="U307" s="404"/>
      <c r="V307" s="405"/>
      <c r="W307" s="404"/>
      <c r="X307" s="404"/>
      <c r="Y307" s="405"/>
      <c r="Z307" s="404"/>
      <c r="AA307" s="404"/>
      <c r="AB307" s="405"/>
      <c r="AC307" s="404"/>
      <c r="AD307" s="404"/>
      <c r="AE307" s="405"/>
      <c r="AF307" s="404"/>
      <c r="AG307" s="404"/>
      <c r="AH307" s="405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70"/>
      <c r="AZ307" s="70"/>
    </row>
    <row r="308" spans="1:52" ht="12.75" hidden="1">
      <c r="A308" s="61"/>
      <c r="B308" s="404"/>
      <c r="C308" s="404"/>
      <c r="D308" s="404"/>
      <c r="E308" s="404"/>
      <c r="F308" s="404"/>
      <c r="G308" s="405"/>
      <c r="H308" s="404"/>
      <c r="I308" s="404"/>
      <c r="J308" s="405"/>
      <c r="K308" s="404"/>
      <c r="L308" s="404"/>
      <c r="M308" s="405"/>
      <c r="N308" s="404"/>
      <c r="O308" s="404"/>
      <c r="P308" s="405"/>
      <c r="Q308" s="404"/>
      <c r="R308" s="404"/>
      <c r="S308" s="405"/>
      <c r="T308" s="404"/>
      <c r="U308" s="404"/>
      <c r="V308" s="405"/>
      <c r="W308" s="404"/>
      <c r="X308" s="404"/>
      <c r="Y308" s="405"/>
      <c r="Z308" s="404"/>
      <c r="AA308" s="404"/>
      <c r="AB308" s="405"/>
      <c r="AC308" s="404">
        <f>3907/15</f>
        <v>260.46666666666664</v>
      </c>
      <c r="AD308" s="404"/>
      <c r="AE308" s="405"/>
      <c r="AF308" s="404"/>
      <c r="AG308" s="404"/>
      <c r="AH308" s="405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70"/>
      <c r="AZ308" s="70"/>
    </row>
    <row r="309" spans="1:52" ht="12.75" hidden="1">
      <c r="A309" s="61"/>
      <c r="B309" s="404"/>
      <c r="C309" s="404"/>
      <c r="D309" s="734">
        <f>5353.23/30</f>
        <v>178.44099999999997</v>
      </c>
      <c r="E309" s="404"/>
      <c r="F309" s="404"/>
      <c r="G309" s="405"/>
      <c r="H309" s="404"/>
      <c r="I309" s="404"/>
      <c r="J309" s="405"/>
      <c r="K309" s="404"/>
      <c r="L309" s="404"/>
      <c r="M309" s="405"/>
      <c r="N309" s="404"/>
      <c r="O309" s="404"/>
      <c r="P309" s="405"/>
      <c r="Q309" s="404"/>
      <c r="R309" s="404"/>
      <c r="S309" s="405"/>
      <c r="T309" s="404"/>
      <c r="U309" s="404"/>
      <c r="V309" s="405"/>
      <c r="W309" s="404"/>
      <c r="X309" s="404"/>
      <c r="Y309" s="405"/>
      <c r="Z309" s="404"/>
      <c r="AA309" s="404"/>
      <c r="AB309" s="405"/>
      <c r="AC309" s="404">
        <f>3907*2</f>
        <v>7814</v>
      </c>
      <c r="AD309" s="404"/>
      <c r="AE309" s="405"/>
      <c r="AF309" s="404"/>
      <c r="AG309" s="404"/>
      <c r="AH309" s="405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70"/>
      <c r="AZ309" s="70"/>
    </row>
    <row r="310" spans="1:52" ht="12.75" hidden="1">
      <c r="A310" s="61"/>
      <c r="B310" s="404"/>
      <c r="C310" s="404"/>
      <c r="D310" s="404"/>
      <c r="E310" s="404"/>
      <c r="F310" s="404"/>
      <c r="G310" s="405"/>
      <c r="H310" s="404"/>
      <c r="I310" s="404"/>
      <c r="J310" s="405"/>
      <c r="K310" s="404"/>
      <c r="L310" s="404"/>
      <c r="M310" s="405"/>
      <c r="N310" s="404"/>
      <c r="O310" s="404"/>
      <c r="P310" s="405"/>
      <c r="Q310" s="404"/>
      <c r="R310" s="404"/>
      <c r="S310" s="405"/>
      <c r="T310" s="404"/>
      <c r="U310" s="404"/>
      <c r="V310" s="405"/>
      <c r="W310" s="404"/>
      <c r="X310" s="404"/>
      <c r="Y310" s="405"/>
      <c r="Z310" s="404"/>
      <c r="AA310" s="404"/>
      <c r="AB310" s="405"/>
      <c r="AC310" s="404"/>
      <c r="AD310" s="404"/>
      <c r="AE310" s="405"/>
      <c r="AF310" s="404"/>
      <c r="AG310" s="404"/>
      <c r="AH310" s="405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70"/>
      <c r="AZ310" s="70"/>
    </row>
    <row r="311" spans="1:52" ht="27" hidden="1" thickBot="1">
      <c r="A311" s="61"/>
      <c r="B311" s="360"/>
      <c r="C311" s="61"/>
      <c r="D311" s="360"/>
      <c r="E311" s="40">
        <v>44896</v>
      </c>
      <c r="F311" s="187" t="s">
        <v>533</v>
      </c>
      <c r="G311" s="193"/>
      <c r="H311" s="40">
        <v>44896</v>
      </c>
      <c r="I311" s="187" t="s">
        <v>533</v>
      </c>
      <c r="J311" s="193"/>
      <c r="K311" s="40">
        <v>44866</v>
      </c>
      <c r="L311" s="187" t="s">
        <v>519</v>
      </c>
      <c r="M311" s="193"/>
      <c r="N311" s="40">
        <v>44835</v>
      </c>
      <c r="O311" s="187" t="s">
        <v>520</v>
      </c>
      <c r="P311" s="193"/>
      <c r="Q311" s="40">
        <v>44805</v>
      </c>
      <c r="R311" s="187" t="s">
        <v>516</v>
      </c>
      <c r="S311" s="193"/>
      <c r="T311" s="40">
        <v>44774</v>
      </c>
      <c r="U311" s="689" t="s">
        <v>510</v>
      </c>
      <c r="V311" s="193"/>
      <c r="W311" s="40">
        <v>44743</v>
      </c>
      <c r="X311" s="187" t="s">
        <v>495</v>
      </c>
      <c r="Y311" s="193"/>
      <c r="Z311" s="40">
        <v>44682</v>
      </c>
      <c r="AA311" s="187" t="s">
        <v>494</v>
      </c>
      <c r="AB311" s="193"/>
      <c r="AC311" s="187" t="s">
        <v>492</v>
      </c>
      <c r="AD311" s="187" t="s">
        <v>493</v>
      </c>
      <c r="AE311" s="361"/>
      <c r="AF311" s="54">
        <v>44562</v>
      </c>
      <c r="AG311" s="54">
        <v>8.8999999999999996E-2</v>
      </c>
      <c r="AH311" s="361"/>
      <c r="AI311" s="336"/>
      <c r="AJ311" s="336"/>
      <c r="AK311" s="337"/>
      <c r="AL311" s="338"/>
      <c r="AM311" s="337"/>
      <c r="AN311" s="337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</row>
    <row r="312" spans="1:52" ht="13.5" hidden="1" thickBot="1">
      <c r="A312" s="61"/>
      <c r="B312" s="243" t="s">
        <v>65</v>
      </c>
      <c r="C312" s="243" t="s">
        <v>66</v>
      </c>
      <c r="D312" s="243" t="s">
        <v>67</v>
      </c>
      <c r="E312" s="243"/>
      <c r="F312" s="243"/>
      <c r="G312" s="243"/>
      <c r="H312" s="243"/>
      <c r="I312" s="243"/>
      <c r="J312" s="243"/>
      <c r="K312" s="243"/>
      <c r="L312" s="243"/>
      <c r="M312" s="244"/>
      <c r="N312" s="243"/>
      <c r="O312" s="243"/>
      <c r="P312" s="244"/>
      <c r="Q312" s="243"/>
      <c r="R312" s="243"/>
      <c r="S312" s="244"/>
      <c r="T312" s="243"/>
      <c r="U312" s="243"/>
      <c r="V312" s="244"/>
      <c r="W312" s="243"/>
      <c r="X312" s="243"/>
      <c r="Y312" s="244"/>
      <c r="Z312" s="243"/>
      <c r="AA312" s="243"/>
      <c r="AB312" s="244"/>
      <c r="AC312" s="243"/>
      <c r="AD312" s="243"/>
      <c r="AE312" s="244"/>
      <c r="AF312" s="243"/>
      <c r="AG312" s="243"/>
      <c r="AH312" s="244"/>
      <c r="AI312" s="70"/>
      <c r="AJ312" s="70"/>
      <c r="AK312" s="61"/>
      <c r="AL312" s="70"/>
      <c r="AM312" s="70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</row>
    <row r="313" spans="1:52" hidden="1" thickBot="1">
      <c r="A313" s="61"/>
      <c r="B313" s="872">
        <v>4</v>
      </c>
      <c r="C313" s="406">
        <v>36</v>
      </c>
      <c r="D313" s="253" t="s">
        <v>122</v>
      </c>
      <c r="E313" s="296">
        <f>indiceene23*punbashormed</f>
        <v>89796.873743999997</v>
      </c>
      <c r="F313" s="253"/>
      <c r="G313" s="407"/>
      <c r="H313" s="296">
        <f>indicenov22*punbashormed</f>
        <v>87392.490840000013</v>
      </c>
      <c r="I313" s="253"/>
      <c r="J313" s="407"/>
      <c r="K313" s="296">
        <f>indicenov22*punbashormed</f>
        <v>87392.490840000013</v>
      </c>
      <c r="L313" s="253"/>
      <c r="M313" s="407"/>
      <c r="N313" s="296">
        <f>indiceoct22*punbashormed</f>
        <v>79302.690792000009</v>
      </c>
      <c r="O313" s="253"/>
      <c r="P313" s="407"/>
      <c r="Q313" s="296">
        <f>indicesep22*punbashormed</f>
        <v>76156.579764000009</v>
      </c>
      <c r="R313" s="253"/>
      <c r="S313" s="407"/>
      <c r="T313" s="296">
        <f>indiceene22*punbashormed*Aumento5</f>
        <v>67167.928151982007</v>
      </c>
      <c r="U313" s="253"/>
      <c r="V313" s="407"/>
      <c r="W313" s="296">
        <f>indiceene22*punbashormed*Aumento3</f>
        <v>62601.677566340411</v>
      </c>
      <c r="X313" s="253"/>
      <c r="Y313" s="407"/>
      <c r="Z313" s="296">
        <f>indiceene22*punbashormed*Aumento2</f>
        <v>58107.336438740407</v>
      </c>
      <c r="AA313" s="253"/>
      <c r="AB313" s="407"/>
      <c r="AC313" s="296">
        <f>indiceene22*punbashormed*Aumento1</f>
        <v>54475.908807639607</v>
      </c>
      <c r="AD313" s="253"/>
      <c r="AE313" s="407"/>
      <c r="AF313" s="296">
        <f>indiceene22*punbashormed</f>
        <v>44943.411276000006</v>
      </c>
      <c r="AG313" s="253"/>
      <c r="AH313" s="407"/>
      <c r="AI313" s="251"/>
      <c r="AJ313" s="61"/>
      <c r="AK313" s="61"/>
      <c r="AL313" s="25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</row>
    <row r="314" spans="1:52" ht="13.5" hidden="1" thickBot="1">
      <c r="A314" s="61"/>
      <c r="B314" s="873">
        <v>10</v>
      </c>
      <c r="C314" s="283">
        <f>porantighormed</f>
        <v>1.2</v>
      </c>
      <c r="D314" s="246" t="s">
        <v>76</v>
      </c>
      <c r="E314" s="249">
        <f>E313*porantighormed</f>
        <v>107756.24849279999</v>
      </c>
      <c r="F314" s="246"/>
      <c r="G314" s="334"/>
      <c r="H314" s="249">
        <f>H313*porantighormed</f>
        <v>104870.98900800002</v>
      </c>
      <c r="I314" s="246"/>
      <c r="J314" s="334"/>
      <c r="K314" s="249">
        <f>K313*porantighormed</f>
        <v>104870.98900800002</v>
      </c>
      <c r="L314" s="246"/>
      <c r="M314" s="334"/>
      <c r="N314" s="249">
        <f>N313*porantighormed</f>
        <v>95163.228950400007</v>
      </c>
      <c r="O314" s="246"/>
      <c r="P314" s="334"/>
      <c r="Q314" s="249">
        <f>Q313*porantighormed</f>
        <v>91387.895716800005</v>
      </c>
      <c r="R314" s="246"/>
      <c r="S314" s="334"/>
      <c r="T314" s="249">
        <f>T313*porantighormed</f>
        <v>80601.513782378403</v>
      </c>
      <c r="U314" s="246"/>
      <c r="V314" s="334"/>
      <c r="W314" s="249">
        <f>W313*porantighormed</f>
        <v>75122.013079608485</v>
      </c>
      <c r="X314" s="246"/>
      <c r="Y314" s="334"/>
      <c r="Z314" s="249">
        <f>Z313*porantighormed</f>
        <v>69728.803726488492</v>
      </c>
      <c r="AA314" s="246"/>
      <c r="AB314" s="334"/>
      <c r="AC314" s="249">
        <f>AC313*porantighormed</f>
        <v>65371.090569167529</v>
      </c>
      <c r="AD314" s="246"/>
      <c r="AE314" s="334"/>
      <c r="AF314" s="249">
        <f>AF313*porantighormed</f>
        <v>53932.093531200007</v>
      </c>
      <c r="AG314" s="246"/>
      <c r="AH314" s="334"/>
      <c r="AI314" s="251"/>
      <c r="AJ314" s="61"/>
      <c r="AK314" s="61"/>
      <c r="AL314" s="25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</row>
    <row r="315" spans="1:52" ht="16.5" hidden="1" thickBot="1">
      <c r="A315" s="61"/>
      <c r="B315" s="872">
        <v>6</v>
      </c>
      <c r="C315" s="291">
        <f>Q315/525.06</f>
        <v>36</v>
      </c>
      <c r="D315" s="253" t="s">
        <v>75</v>
      </c>
      <c r="E315" s="296">
        <f>IF(canthor06med&gt;36,36*525.06,525.06*canthor06med)/1.6945*1.998</f>
        <v>22287.704738861019</v>
      </c>
      <c r="F315" s="253"/>
      <c r="G315" s="407"/>
      <c r="H315" s="296">
        <f>IF(canthor06med&gt;36,36*525.06,525.06*canthor06med)/1.6945*1.9445</f>
        <v>21690.911844201826</v>
      </c>
      <c r="I315" s="253"/>
      <c r="J315" s="407"/>
      <c r="K315" s="296">
        <f>IF(canthor06med&gt;36,36*525.06,525.06*canthor06med)/1.6945*1.9445</f>
        <v>21690.911844201826</v>
      </c>
      <c r="L315" s="253"/>
      <c r="M315" s="407"/>
      <c r="N315" s="296">
        <f>IF(canthor06med&gt;36,36*525.06,525.06*canthor06med)/1.6945*1.7645</f>
        <v>19683.010516376507</v>
      </c>
      <c r="O315" s="253"/>
      <c r="P315" s="407"/>
      <c r="Q315" s="296">
        <f>IF(canthor06med&gt;36,36*525.06,525.06*canthor06med)</f>
        <v>18902.159999999996</v>
      </c>
      <c r="R315" s="253"/>
      <c r="S315" s="407"/>
      <c r="T315" s="296">
        <f>IF(canthor06med&gt;36,36*309.8579,309.8579*canthor06med)*Aumento5</f>
        <v>16670.974735799999</v>
      </c>
      <c r="U315" s="253"/>
      <c r="V315" s="407"/>
      <c r="W315" s="296">
        <f>IF(canthor06med&gt;36,36*309.8579,309.8579*canthor06med)*Aumento3</f>
        <v>15537.638480759999</v>
      </c>
      <c r="X315" s="253"/>
      <c r="Y315" s="407"/>
      <c r="Z315" s="296">
        <f>IF(canthor06med&gt;36,36*309.8579,309.8579*canthor06med)*Aumento2</f>
        <v>14422.150040759998</v>
      </c>
      <c r="AA315" s="253"/>
      <c r="AB315" s="407"/>
      <c r="AC315" s="296">
        <f>IF(canthor06med&gt;36,36*309.8579,309.8579*canthor06med)*Aumento1</f>
        <v>13520.835381239998</v>
      </c>
      <c r="AD315" s="253"/>
      <c r="AE315" s="407"/>
      <c r="AF315" s="296">
        <f>IF(canthor06med&gt;36,36*309.8579,309.8579*canthor06med)</f>
        <v>11154.884399999999</v>
      </c>
      <c r="AG315" s="253"/>
      <c r="AH315" s="407"/>
      <c r="AI315" s="251"/>
      <c r="AJ315" s="61"/>
      <c r="AK315" s="61"/>
      <c r="AL315" s="25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</row>
    <row r="316" spans="1:52" ht="13.5" hidden="1" thickBot="1">
      <c r="A316" s="61"/>
      <c r="B316" s="873">
        <v>14</v>
      </c>
      <c r="C316" s="283">
        <v>7.0000000000000007E-2</v>
      </c>
      <c r="D316" s="246" t="s">
        <v>123</v>
      </c>
      <c r="E316" s="249">
        <f>E315*0.07</f>
        <v>1560.1393317202715</v>
      </c>
      <c r="F316" s="246"/>
      <c r="G316" s="334"/>
      <c r="H316" s="249">
        <f>H315*0.07</f>
        <v>1518.3638290941281</v>
      </c>
      <c r="I316" s="246"/>
      <c r="J316" s="334"/>
      <c r="K316" s="249">
        <f>K315*0.07</f>
        <v>1518.3638290941281</v>
      </c>
      <c r="L316" s="246"/>
      <c r="M316" s="334"/>
      <c r="N316" s="249">
        <f>N315*0.07</f>
        <v>1377.8107361463556</v>
      </c>
      <c r="O316" s="246"/>
      <c r="P316" s="334"/>
      <c r="Q316" s="249">
        <f>Q315*0.07</f>
        <v>1323.1511999999998</v>
      </c>
      <c r="R316" s="246"/>
      <c r="S316" s="334"/>
      <c r="T316" s="249">
        <f>T315*0.07</f>
        <v>1166.9682315059999</v>
      </c>
      <c r="U316" s="246"/>
      <c r="V316" s="334"/>
      <c r="W316" s="249">
        <f>W315*0.07</f>
        <v>1087.6346936532</v>
      </c>
      <c r="X316" s="246"/>
      <c r="Y316" s="334"/>
      <c r="Z316" s="249">
        <f>Z315*0.07</f>
        <v>1009.5505028532</v>
      </c>
      <c r="AA316" s="246"/>
      <c r="AB316" s="334"/>
      <c r="AC316" s="249">
        <f>AC315*0.07</f>
        <v>946.45847668679994</v>
      </c>
      <c r="AD316" s="246"/>
      <c r="AE316" s="334"/>
      <c r="AF316" s="249">
        <f>AF315*0.07</f>
        <v>780.84190799999999</v>
      </c>
      <c r="AG316" s="246"/>
      <c r="AH316" s="334"/>
      <c r="AI316" s="251"/>
      <c r="AJ316" s="61"/>
      <c r="AK316" s="61"/>
      <c r="AL316" s="25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</row>
    <row r="317" spans="1:52" ht="16.5" hidden="1" thickBot="1">
      <c r="A317" s="61"/>
      <c r="B317" s="872">
        <v>18</v>
      </c>
      <c r="C317" s="291">
        <v>18</v>
      </c>
      <c r="D317" s="296" t="s">
        <v>124</v>
      </c>
      <c r="E317" s="296">
        <f>IF(canthormed&gt;18,18*233.82667,233.82667*canthormed)*adichsmedia*1.509/1.42*1.998</f>
        <v>8936.4067753936069</v>
      </c>
      <c r="F317" s="253"/>
      <c r="G317" s="408"/>
      <c r="H317" s="296">
        <f>IF(canthormed&gt;18,18*233.82667,233.82667*canthormed)*adichsmedia*1.509/1.42*Aumento8</f>
        <v>8697.1186059824158</v>
      </c>
      <c r="I317" s="253"/>
      <c r="J317" s="408"/>
      <c r="K317" s="296">
        <f>IF(canthormed&gt;18,18*233.82667,233.82667*canthormed)*adichsmedia*1.509/1.42*Aumento8</f>
        <v>8697.1186059824158</v>
      </c>
      <c r="L317" s="253"/>
      <c r="M317" s="408"/>
      <c r="N317" s="296">
        <f>IF(canthormed&gt;18,18*233.82667,233.82667*canthormed)*adichsmedia*1.509/1.42*Aumento7</f>
        <v>7892.0369145055147</v>
      </c>
      <c r="O317" s="253"/>
      <c r="P317" s="408"/>
      <c r="Q317" s="296">
        <f>IF(canthormed&gt;18,7578.96,421.05333*canthormed)*adichsmedia</f>
        <v>7578.96</v>
      </c>
      <c r="R317" s="253"/>
      <c r="S317" s="408"/>
      <c r="T317" s="296">
        <f>IF(canthormed&gt;18,18*233.82667,233.82667*canthormed)*adichsmedia*1.509/1.42*Aumento5</f>
        <v>6684.4143772901625</v>
      </c>
      <c r="U317" s="253"/>
      <c r="V317" s="408"/>
      <c r="W317" s="296">
        <f>IF(canthormed&gt;18,18*233.82667,233.82667*canthormed)*adichsmedia*1.509/1.42*Aumento3</f>
        <v>6229.9904892120894</v>
      </c>
      <c r="X317" s="253"/>
      <c r="Y317" s="408"/>
      <c r="Z317" s="296">
        <f>IF(canthormed&gt;18,18*233.82667,233.82667*canthormed)*adichsmedia*1.509/1.42*Aumento2</f>
        <v>5782.722882836033</v>
      </c>
      <c r="AA317" s="253"/>
      <c r="AB317" s="408"/>
      <c r="AC317" s="296">
        <f>IF(canthormed&gt;18,18*233.82667,233.82667*canthormed)*adichsmedia*1.509/1.42*Aumento1</f>
        <v>5421.330656884179</v>
      </c>
      <c r="AD317" s="253"/>
      <c r="AE317" s="408"/>
      <c r="AF317" s="296">
        <f>IF(canthormed&gt;18,18*233.82667,233.82667*canthormed)*adichsmedia*1.509/1.42</f>
        <v>4472.6760637605639</v>
      </c>
      <c r="AG317" s="253"/>
      <c r="AH317" s="408"/>
      <c r="AI317" s="251"/>
      <c r="AJ317" s="61"/>
      <c r="AK317" s="61"/>
      <c r="AL317" s="25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</row>
    <row r="318" spans="1:52" ht="13.5" hidden="1" thickBot="1">
      <c r="A318" s="61"/>
      <c r="B318" s="872">
        <v>188</v>
      </c>
      <c r="C318" s="269">
        <v>7.0000000000000007E-2</v>
      </c>
      <c r="D318" s="253" t="s">
        <v>78</v>
      </c>
      <c r="E318" s="296">
        <f>(E313+E314+E317+E319+E321+E322)*0.07</f>
        <v>15951.354644372144</v>
      </c>
      <c r="F318" s="736"/>
      <c r="G318" s="407"/>
      <c r="H318" s="296">
        <f>(H313+H314+H317+H319+H321+H322)*0.07</f>
        <v>15524.242324454901</v>
      </c>
      <c r="I318" s="736"/>
      <c r="J318" s="407"/>
      <c r="K318" s="296">
        <f>(K313+K314+K317+K319+K321+K322)*0.07</f>
        <v>15524.242324454901</v>
      </c>
      <c r="L318" s="736"/>
      <c r="M318" s="407"/>
      <c r="N318" s="296">
        <f>(N313+N314+N317+N319+N321+N322)*0.07</f>
        <v>14087.184640684865</v>
      </c>
      <c r="O318" s="253"/>
      <c r="P318" s="407"/>
      <c r="Q318" s="296">
        <f>(Q313+Q314+Q317+Q319+Q321+Q322)*0.07</f>
        <v>13528.316583656004</v>
      </c>
      <c r="R318" s="736"/>
      <c r="S318" s="407"/>
      <c r="T318" s="296">
        <f>(T313+T314+T317+T319+T321+T322)*0.07</f>
        <v>11931.58847955505</v>
      </c>
      <c r="U318" s="253"/>
      <c r="V318" s="407"/>
      <c r="W318" s="296">
        <f>(W313+W314+W317+W319+W321+W322)*0.07</f>
        <v>11120.448038255086</v>
      </c>
      <c r="X318" s="253"/>
      <c r="Y318" s="407"/>
      <c r="Z318" s="296">
        <f>(Z313+Z314+Z317+Z319+Z321+Z322)*0.07</f>
        <v>10322.081462172446</v>
      </c>
      <c r="AA318" s="253"/>
      <c r="AB318" s="407"/>
      <c r="AC318" s="296">
        <f>(AC313+AC314+AC317+AC319+AC321+AC322)*0.07</f>
        <v>9677.0012686976734</v>
      </c>
      <c r="AD318" s="253"/>
      <c r="AE318" s="407"/>
      <c r="AF318" s="296">
        <f>(AF313+AF314+AF317+AF319+AF321+AF322)*0.07</f>
        <v>7983.6657608263968</v>
      </c>
      <c r="AG318" s="253"/>
      <c r="AH318" s="407"/>
      <c r="AI318" s="251"/>
      <c r="AJ318" s="61"/>
      <c r="AK318" s="61"/>
      <c r="AL318" s="25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</row>
    <row r="319" spans="1:52" ht="16.5" hidden="1" thickBot="1">
      <c r="A319" s="61"/>
      <c r="B319" s="873">
        <v>78</v>
      </c>
      <c r="C319" s="598">
        <f>C262</f>
        <v>0</v>
      </c>
      <c r="D319" s="246" t="s">
        <v>81</v>
      </c>
      <c r="E319" s="249">
        <f>E313*porzonahsmed</f>
        <v>0</v>
      </c>
      <c r="F319" s="746">
        <f>15155/1200</f>
        <v>12.629166666666666</v>
      </c>
      <c r="G319" s="334"/>
      <c r="H319" s="249">
        <f>H313*porzonahsmed</f>
        <v>0</v>
      </c>
      <c r="I319" s="746">
        <f>15155/1200</f>
        <v>12.629166666666666</v>
      </c>
      <c r="J319" s="334"/>
      <c r="K319" s="249">
        <f>K313*porzonahsmed</f>
        <v>0</v>
      </c>
      <c r="L319" s="746">
        <f>15155/1200</f>
        <v>12.629166666666666</v>
      </c>
      <c r="M319" s="334"/>
      <c r="N319" s="249">
        <f>N313*porzonahsmed</f>
        <v>0</v>
      </c>
      <c r="O319" s="246"/>
      <c r="P319" s="334"/>
      <c r="Q319" s="249">
        <f>Q313*porzonahsmed</f>
        <v>0</v>
      </c>
      <c r="R319" s="246"/>
      <c r="S319" s="334"/>
      <c r="T319" s="249">
        <f>T313*porzonahsmed</f>
        <v>0</v>
      </c>
      <c r="U319" s="246"/>
      <c r="V319" s="334"/>
      <c r="W319" s="249">
        <f>W313*porzonahsmed</f>
        <v>0</v>
      </c>
      <c r="X319" s="246"/>
      <c r="Y319" s="334"/>
      <c r="Z319" s="249">
        <f>Z313*porzonahsmed</f>
        <v>0</v>
      </c>
      <c r="AA319" s="246"/>
      <c r="AB319" s="334"/>
      <c r="AC319" s="249">
        <f>AC313*porzonahsmed</f>
        <v>0</v>
      </c>
      <c r="AD319" s="246"/>
      <c r="AE319" s="334"/>
      <c r="AF319" s="249">
        <f>AF313*porzonahsmed</f>
        <v>0</v>
      </c>
      <c r="AG319" s="246"/>
      <c r="AH319" s="334"/>
      <c r="AI319" s="251"/>
      <c r="AJ319" s="61"/>
      <c r="AK319" s="61"/>
      <c r="AL319" s="25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</row>
    <row r="320" spans="1:52" ht="15" hidden="1" thickBot="1">
      <c r="A320" s="61"/>
      <c r="B320" s="872">
        <v>29</v>
      </c>
      <c r="C320" s="409">
        <f>cantkmhm</f>
        <v>0</v>
      </c>
      <c r="D320" s="253" t="s">
        <v>85</v>
      </c>
      <c r="E320" s="296">
        <f>IF(kmsemhsmed&lt;300,kmsemhsmed*14.3004*4,17160.5)</f>
        <v>0</v>
      </c>
      <c r="F320" s="763"/>
      <c r="G320" s="407"/>
      <c r="H320" s="296">
        <f>IF(kmsemhsmed&lt;300,kmsemhsmed*13.9175*4,16701)</f>
        <v>0</v>
      </c>
      <c r="I320" s="763"/>
      <c r="J320" s="407"/>
      <c r="K320" s="296">
        <f>IF(kmsemhsmed&lt;300,kmsemhsmed*13.9175*4,16701)</f>
        <v>0</v>
      </c>
      <c r="L320" s="763"/>
      <c r="M320" s="407"/>
      <c r="N320" s="296">
        <f>IF(kmsemhsmed&lt;300,kmsemhsmed*12.6292*4,15155)</f>
        <v>0</v>
      </c>
      <c r="O320" s="763"/>
      <c r="P320" s="407"/>
      <c r="Q320" s="296">
        <f>IF(kmsemhsmed&lt;300,kmsemhsmed*12.1283*4,14554)</f>
        <v>0</v>
      </c>
      <c r="R320" s="284"/>
      <c r="S320" s="407"/>
      <c r="T320" s="296">
        <f>IF(kmsemhsmed&lt;300,kmsemhsmed*4.3141666*4,5177)*1.659*Aumento5</f>
        <v>0</v>
      </c>
      <c r="U320" s="284"/>
      <c r="V320" s="407"/>
      <c r="W320" s="296">
        <f>IF(kmsemhsmed&lt;300,kmsemhsmed*4.3141666*4,5177)*1.659*Aumento3</f>
        <v>0</v>
      </c>
      <c r="X320" s="284"/>
      <c r="Y320" s="407"/>
      <c r="Z320" s="296">
        <f>IF(kmsemhsmed&lt;300,kmsemhsmed*4.3141666*4,5177)*1.659*Aumento2</f>
        <v>0</v>
      </c>
      <c r="AA320" s="284"/>
      <c r="AB320" s="407"/>
      <c r="AC320" s="296">
        <f>IF(kmsemhsmed&lt;300,kmsemhsmed*4.3141666*4,5177)*1.659*Aumento1</f>
        <v>0</v>
      </c>
      <c r="AD320" s="284"/>
      <c r="AE320" s="407"/>
      <c r="AF320" s="296">
        <f>IF(kmsemhsmed&lt;300,kmsemhsmed*4.3141666*4,5177)*1.659</f>
        <v>0</v>
      </c>
      <c r="AG320" s="284" t="s">
        <v>490</v>
      </c>
      <c r="AH320" s="407"/>
      <c r="AI320" s="251"/>
      <c r="AJ320" s="61"/>
      <c r="AK320" s="61"/>
      <c r="AL320" s="25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</row>
    <row r="321" spans="1:52" ht="16.5" hidden="1" thickBot="1">
      <c r="A321" s="61"/>
      <c r="B321" s="872">
        <v>117</v>
      </c>
      <c r="C321" s="293"/>
      <c r="D321" s="253" t="s">
        <v>84</v>
      </c>
      <c r="E321" s="296">
        <f>IF(canthormed*99.09533&gt;2972.86,2972.86,canthormed*99.095333)*1.509/1.42*1.998</f>
        <v>6312.0559074084504</v>
      </c>
      <c r="F321" s="253"/>
      <c r="G321" s="407"/>
      <c r="H321" s="296">
        <f>IF(canthormed*99.09533&gt;2972.86,2972.86,canthormed*99.095333)*1.509/1.42*Aumento8</f>
        <v>6143.0393953732382</v>
      </c>
      <c r="I321" s="253"/>
      <c r="J321" s="407"/>
      <c r="K321" s="296">
        <f>IF(canthormed*99.09533&gt;2972.86,2972.86,canthormed*99.095333)*1.509/1.42*Aumento8</f>
        <v>6143.0393953732382</v>
      </c>
      <c r="L321" s="253"/>
      <c r="M321" s="407"/>
      <c r="N321" s="296">
        <f>IF(canthormed*99.09533&gt;2972.86,2972.86,canthormed*99.095333)*1.509/1.42*Aumento7</f>
        <v>5574.3857100211262</v>
      </c>
      <c r="O321" s="253"/>
      <c r="P321" s="407"/>
      <c r="Q321" s="296">
        <f>IF(canthormed*178.441&gt;5353.23,5353.23,canthormed*178.441)</f>
        <v>5353.23</v>
      </c>
      <c r="R321" s="253"/>
      <c r="S321" s="407"/>
      <c r="T321" s="296">
        <f>IF(canthormed*99.09533&gt;2972.86,2972.86,canthormed*99.095333)*1.509/1.42*Aumento5</f>
        <v>4721.4051819929573</v>
      </c>
      <c r="U321" s="253"/>
      <c r="V321" s="407"/>
      <c r="W321" s="296">
        <f>IF(canthormed*99.09533&gt;2972.86,2972.86,canthormed*99.095333)*1.509/1.42*Aumento3</f>
        <v>4400.4317684830985</v>
      </c>
      <c r="X321" s="253"/>
      <c r="Y321" s="407"/>
      <c r="Z321" s="296">
        <f>IF(canthormed*99.09533&gt;2972.86,2972.86,canthormed*99.095333)*1.509/1.42*Aumento2</f>
        <v>4084.5130543985911</v>
      </c>
      <c r="AA321" s="253"/>
      <c r="AB321" s="407"/>
      <c r="AC321" s="296">
        <f>IF(canthormed*99.09533&gt;2972.86,2972.86,canthormed*99.095333)*1.509/1.42*Aumento1</f>
        <v>3829.2507334183092</v>
      </c>
      <c r="AD321" s="253"/>
      <c r="AE321" s="407"/>
      <c r="AF321" s="296">
        <f>IF(canthormed*99.09533&gt;2972.86,2972.86,canthormed*99.095333)*1.509/1.42</f>
        <v>3159.1871408450702</v>
      </c>
      <c r="AG321" s="253"/>
      <c r="AH321" s="407"/>
      <c r="AI321" s="251"/>
      <c r="AJ321" s="61"/>
      <c r="AK321" s="61"/>
      <c r="AL321" s="25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</row>
    <row r="322" spans="1:52" ht="21" hidden="1" thickBot="1">
      <c r="A322" s="61"/>
      <c r="B322" s="874">
        <v>38</v>
      </c>
      <c r="C322" s="597">
        <f>C265</f>
        <v>15</v>
      </c>
      <c r="D322" s="411" t="s">
        <v>125</v>
      </c>
      <c r="E322" s="412">
        <f>IF($C322="",IF(canthormed&lt;15,473.333*canthormed,7100),IF($C322&lt;15,473.333*$C322,7100))*1.509/1.42*1.998</f>
        <v>15074.91</v>
      </c>
      <c r="F322" s="246"/>
      <c r="G322" s="413"/>
      <c r="H322" s="412">
        <f>IF($C322="",IF(canthormed&lt;15,473.333*canthormed,7100),IF($C322&lt;15,473.333*$C322,7100))*1.509/1.42*Aumento8</f>
        <v>14671.252499999999</v>
      </c>
      <c r="I322" s="246"/>
      <c r="J322" s="413"/>
      <c r="K322" s="412">
        <f>IF(C322="",IF(canthormed&lt;15,473.333*canthormed,7100),IF(C322&lt;15,473.333*C322,7100))*1.509/1.42*Aumento8</f>
        <v>14671.252499999999</v>
      </c>
      <c r="L322" s="246"/>
      <c r="M322" s="413"/>
      <c r="N322" s="412">
        <f>IF(C322="",IF(canthormed&lt;15,473.333*canthormed,7100),IF(C322&lt;15,473.333*C322,7100))*1.509/1.42*Aumento7</f>
        <v>13313.1525</v>
      </c>
      <c r="O322" s="246"/>
      <c r="P322" s="413"/>
      <c r="Q322" s="412">
        <f>IF(C322="",IF(canthormed&lt;15,852.333*canthormed,12785),IF(C322&lt;15,852.333*C322,12785))</f>
        <v>12785</v>
      </c>
      <c r="R322" s="246"/>
      <c r="S322" s="413"/>
      <c r="T322" s="412">
        <f>IF(C322="",IF(canthormed&lt;15,473.333*canthormed,7100),IF(C322&lt;15,473.333*C322,7100))*1.509/1.42*Aumento5</f>
        <v>11276.002499999999</v>
      </c>
      <c r="U322" s="246"/>
      <c r="V322" s="413"/>
      <c r="W322" s="412">
        <f>IF(C322="",IF(canthormed&lt;15,473.333*canthormed,7100),IF(C322&lt;15,473.333*C322,7100))*1.509/1.42*Aumento3</f>
        <v>10509.4305</v>
      </c>
      <c r="X322" s="246"/>
      <c r="Y322" s="413"/>
      <c r="Z322" s="412">
        <f>IF(C322="",IF(canthormed&lt;15,473.333*canthormed,7100),IF(C322&lt;15,473.333*C322,7100))*1.509/1.42*Aumento2</f>
        <v>9754.9305000000004</v>
      </c>
      <c r="AA322" s="246"/>
      <c r="AB322" s="413"/>
      <c r="AC322" s="412">
        <f>IF(C322="",IF(canthormed&lt;15,473.333*canthormed,7100),IF(C322&lt;15,473.333*C322,7100))*1.509/1.42*Aumento1</f>
        <v>9145.2945</v>
      </c>
      <c r="AD322" s="246"/>
      <c r="AE322" s="413"/>
      <c r="AF322" s="412">
        <f>IF(C322="",IF(canthormed&lt;15,473.333*canthormed,7100),IF(C322&lt;15,473.333*C322,7100))*1.509/1.42</f>
        <v>7545</v>
      </c>
      <c r="AG322" s="246"/>
      <c r="AH322" s="413"/>
      <c r="AI322" s="292"/>
      <c r="AJ322" s="61"/>
      <c r="AK322" s="61"/>
      <c r="AL322" s="292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</row>
    <row r="323" spans="1:52" ht="16.5" hidden="1" thickBot="1">
      <c r="A323" s="61"/>
      <c r="B323" s="873"/>
      <c r="C323" s="414"/>
      <c r="D323" s="328" t="s">
        <v>126</v>
      </c>
      <c r="E323" s="415">
        <f>SUM(E313:E322)</f>
        <v>267675.69363455544</v>
      </c>
      <c r="F323" s="246"/>
      <c r="G323" s="416"/>
      <c r="H323" s="415">
        <f>SUM(H313:H322)</f>
        <v>260508.40834710657</v>
      </c>
      <c r="I323" s="246"/>
      <c r="J323" s="416"/>
      <c r="K323" s="415">
        <f>SUM(K313:K322)</f>
        <v>260508.40834710657</v>
      </c>
      <c r="L323" s="246"/>
      <c r="M323" s="416"/>
      <c r="N323" s="415">
        <f>SUM(N313:N322)</f>
        <v>236393.50076013434</v>
      </c>
      <c r="O323" s="246"/>
      <c r="P323" s="416"/>
      <c r="Q323" s="415">
        <f>SUM(Q313:Q322)</f>
        <v>227015.29326445604</v>
      </c>
      <c r="R323" s="246"/>
      <c r="S323" s="416"/>
      <c r="T323" s="415">
        <f>SUM(T313:T322)</f>
        <v>200220.79544050459</v>
      </c>
      <c r="U323" s="246"/>
      <c r="V323" s="416"/>
      <c r="W323" s="415">
        <f>SUM(W313:W322)</f>
        <v>186609.2646163124</v>
      </c>
      <c r="X323" s="246"/>
      <c r="Y323" s="416"/>
      <c r="Z323" s="415">
        <f>SUM(Z313:Z322)</f>
        <v>173212.08860824915</v>
      </c>
      <c r="AA323" s="246"/>
      <c r="AB323" s="416"/>
      <c r="AC323" s="415">
        <f>SUM(AC313:AC322)</f>
        <v>162387.17039373406</v>
      </c>
      <c r="AD323" s="246"/>
      <c r="AE323" s="416"/>
      <c r="AF323" s="415">
        <f>SUM(AF313:AF322)</f>
        <v>133971.76008063206</v>
      </c>
      <c r="AG323" s="246"/>
      <c r="AH323" s="416"/>
      <c r="AI323" s="292"/>
      <c r="AJ323" s="61"/>
      <c r="AK323" s="61"/>
      <c r="AL323" s="292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</row>
    <row r="324" spans="1:52" hidden="1" thickBot="1">
      <c r="A324" s="61"/>
      <c r="B324" s="875" t="s">
        <v>127</v>
      </c>
      <c r="C324" s="246"/>
      <c r="D324" s="246"/>
      <c r="E324" s="417">
        <f>E267</f>
        <v>0</v>
      </c>
      <c r="F324" s="418"/>
      <c r="G324" s="419"/>
      <c r="H324" s="417">
        <f>H267</f>
        <v>0</v>
      </c>
      <c r="I324" s="418"/>
      <c r="J324" s="419"/>
      <c r="K324" s="417">
        <f>K267</f>
        <v>0</v>
      </c>
      <c r="L324" s="418"/>
      <c r="M324" s="419"/>
      <c r="N324" s="417">
        <f>N267</f>
        <v>0</v>
      </c>
      <c r="O324" s="418"/>
      <c r="P324" s="419"/>
      <c r="Q324" s="417">
        <f>Q267</f>
        <v>0</v>
      </c>
      <c r="R324" s="418"/>
      <c r="S324" s="419"/>
      <c r="T324" s="417">
        <f>T267</f>
        <v>0</v>
      </c>
      <c r="U324" s="418"/>
      <c r="V324" s="419"/>
      <c r="W324" s="417">
        <f>W267</f>
        <v>0</v>
      </c>
      <c r="X324" s="418"/>
      <c r="Y324" s="419"/>
      <c r="Z324" s="417">
        <f>Z267</f>
        <v>0</v>
      </c>
      <c r="AA324" s="418"/>
      <c r="AB324" s="419"/>
      <c r="AC324" s="417">
        <f>AC267</f>
        <v>0</v>
      </c>
      <c r="AD324" s="418"/>
      <c r="AE324" s="419"/>
      <c r="AF324" s="417">
        <f>AF267</f>
        <v>0</v>
      </c>
      <c r="AG324" s="418"/>
      <c r="AH324" s="419"/>
      <c r="AI324" s="292"/>
      <c r="AJ324" s="61"/>
      <c r="AK324" s="61"/>
      <c r="AL324" s="292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</row>
    <row r="325" spans="1:52" ht="16.5" hidden="1" thickBot="1">
      <c r="A325" s="61"/>
      <c r="B325" s="873">
        <v>84</v>
      </c>
      <c r="C325" s="420">
        <f>Q325/375.6</f>
        <v>29.999999999999996</v>
      </c>
      <c r="D325" s="246" t="s">
        <v>89</v>
      </c>
      <c r="E325" s="249">
        <f>IF(canthorincmed*490&gt;14700,14700,canthorincmed*490)</f>
        <v>14700</v>
      </c>
      <c r="F325" s="283"/>
      <c r="G325" s="334"/>
      <c r="H325" s="249">
        <f>IF(canthorincmed*450&gt;13500,13500,canthorincmed*450)</f>
        <v>13500</v>
      </c>
      <c r="I325" s="283"/>
      <c r="J325" s="334"/>
      <c r="K325" s="249">
        <f>IF(canthorincmed*375.6&gt;11268,11268,canthorincmed*375.6)</f>
        <v>11268</v>
      </c>
      <c r="L325" s="283"/>
      <c r="M325" s="334"/>
      <c r="N325" s="249">
        <f>IF(canthorincmed*375.6&gt;11268,11268,canthorincmed*375.6)</f>
        <v>11268</v>
      </c>
      <c r="O325" s="283"/>
      <c r="P325" s="334"/>
      <c r="Q325" s="249">
        <f>IF(canthorincmed*375.6&gt;11268,11268,canthorincmed*375.6)</f>
        <v>11268</v>
      </c>
      <c r="R325" s="283">
        <f>5634/15</f>
        <v>375.6</v>
      </c>
      <c r="S325" s="334"/>
      <c r="T325" s="249">
        <f>IF(canthorincmed*342.73333&gt;10282,10282,canthorincmed*342.73333)</f>
        <v>10282</v>
      </c>
      <c r="U325" s="283"/>
      <c r="V325" s="334"/>
      <c r="W325" s="249">
        <f>IF(canthorincmed*342.73333&gt;10282,10282,canthorincmed*342.73333)</f>
        <v>10282</v>
      </c>
      <c r="X325" s="283"/>
      <c r="Y325" s="334"/>
      <c r="Z325" s="249">
        <f>IF(canthorincmed*260.46666&gt;7814,7814,canthorincmed*260.46666)</f>
        <v>7814</v>
      </c>
      <c r="AA325" s="283"/>
      <c r="AB325" s="334"/>
      <c r="AC325" s="249">
        <f>IF(canthorincmed*260.46666&gt;7814,7814,canthorincmed*260.46666)</f>
        <v>7814</v>
      </c>
      <c r="AD325" s="283"/>
      <c r="AE325" s="334"/>
      <c r="AF325" s="249">
        <f>IF(canthorincmed*188.666667&gt;5660,5660,canthorincmed*188.666667)</f>
        <v>5660</v>
      </c>
      <c r="AG325" s="283"/>
      <c r="AH325" s="334"/>
      <c r="AI325" s="251"/>
      <c r="AJ325" s="61"/>
      <c r="AK325" s="61"/>
      <c r="AL325" s="25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</row>
    <row r="326" spans="1:52" ht="16.5" hidden="1" thickBot="1">
      <c r="A326" s="61"/>
      <c r="B326" s="873">
        <v>54</v>
      </c>
      <c r="C326" s="420">
        <f>Q326/150</f>
        <v>30</v>
      </c>
      <c r="D326" s="246" t="s">
        <v>91</v>
      </c>
      <c r="E326" s="249">
        <f>IF(canthorincmed*150&gt;4500,4500,canthorincmed*150)</f>
        <v>4500</v>
      </c>
      <c r="F326" s="246"/>
      <c r="G326" s="334"/>
      <c r="H326" s="249">
        <f>IF(canthorincmed*150&gt;4500,4500,canthorincmed*150)</f>
        <v>4500</v>
      </c>
      <c r="I326" s="246"/>
      <c r="J326" s="334"/>
      <c r="K326" s="249">
        <f>IF(canthorincmed*150&gt;4500,4500,canthorincmed*150)</f>
        <v>4500</v>
      </c>
      <c r="L326" s="246"/>
      <c r="M326" s="334"/>
      <c r="N326" s="249">
        <f>IF(canthorincmed*150&gt;4500,4500,canthorincmed*150)</f>
        <v>4500</v>
      </c>
      <c r="O326" s="246"/>
      <c r="P326" s="334"/>
      <c r="Q326" s="249">
        <f>IF(canthorincmed*150&gt;4500,4500,canthorincmed*150)</f>
        <v>4500</v>
      </c>
      <c r="R326" s="246"/>
      <c r="S326" s="334"/>
      <c r="T326" s="249">
        <f>IF(canthorincmed*150&gt;4500,4500,canthorincmed*150)</f>
        <v>4500</v>
      </c>
      <c r="U326" s="246"/>
      <c r="V326" s="334"/>
      <c r="W326" s="249">
        <f>IF(canthorincmed*150&gt;4500,4500,canthorincmed*150)</f>
        <v>4500</v>
      </c>
      <c r="X326" s="246"/>
      <c r="Y326" s="334"/>
      <c r="Z326" s="249">
        <f>IF(canthorincmed*150&gt;4500,4500,canthorincmed*150)</f>
        <v>4500</v>
      </c>
      <c r="AA326" s="246"/>
      <c r="AB326" s="334"/>
      <c r="AC326" s="249">
        <f>IF(canthorincmed*150&gt;4500,4500,canthorincmed*150)</f>
        <v>4500</v>
      </c>
      <c r="AD326" s="246"/>
      <c r="AE326" s="334"/>
      <c r="AF326" s="249">
        <f>IF(canthorincmed*150&gt;4500,4500,canthorincmed*150)</f>
        <v>4500</v>
      </c>
      <c r="AG326" s="246"/>
      <c r="AH326" s="334"/>
      <c r="AI326" s="251"/>
      <c r="AJ326" s="61"/>
      <c r="AK326" s="61"/>
      <c r="AL326" s="25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</row>
    <row r="327" spans="1:52" ht="16.5" hidden="1" thickBot="1">
      <c r="A327" s="61"/>
      <c r="B327" s="875">
        <v>64</v>
      </c>
      <c r="C327" s="420">
        <f>E327/133.333</f>
        <v>37.500093750234377</v>
      </c>
      <c r="D327" s="246" t="s">
        <v>538</v>
      </c>
      <c r="E327" s="249">
        <f>IF(canthorincmed*166.6667&gt;5000,5000,canthorincmed*166.66667)</f>
        <v>5000</v>
      </c>
      <c r="F327" s="246"/>
      <c r="G327" s="334"/>
      <c r="H327" s="249">
        <f>IF(canthorincmed*133.333&gt;4000,4000,canthorincmed*133.333)</f>
        <v>4000</v>
      </c>
      <c r="I327" s="246"/>
      <c r="J327" s="334"/>
      <c r="K327" s="302"/>
      <c r="L327" s="246"/>
      <c r="M327" s="334"/>
      <c r="N327" s="302"/>
      <c r="O327" s="246"/>
      <c r="P327" s="334"/>
      <c r="Q327" s="302"/>
      <c r="R327" s="246"/>
      <c r="S327" s="334"/>
      <c r="T327" s="302"/>
      <c r="U327" s="246"/>
      <c r="V327" s="334"/>
      <c r="W327" s="302"/>
      <c r="X327" s="246"/>
      <c r="Y327" s="334"/>
      <c r="Z327" s="302"/>
      <c r="AA327" s="246"/>
      <c r="AB327" s="334"/>
      <c r="AC327" s="302"/>
      <c r="AD327" s="246"/>
      <c r="AE327" s="334"/>
      <c r="AF327" s="302"/>
      <c r="AG327" s="246"/>
      <c r="AH327" s="334"/>
      <c r="AI327" s="292"/>
      <c r="AJ327" s="61"/>
      <c r="AK327" s="61"/>
      <c r="AL327" s="292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</row>
    <row r="328" spans="1:52" hidden="1" thickBot="1">
      <c r="A328" s="61"/>
      <c r="B328" s="325"/>
      <c r="C328" s="246"/>
      <c r="D328" s="246"/>
      <c r="E328" s="302"/>
      <c r="F328" s="246"/>
      <c r="G328" s="334"/>
      <c r="H328" s="302"/>
      <c r="I328" s="246"/>
      <c r="J328" s="334"/>
      <c r="K328" s="302"/>
      <c r="L328" s="246"/>
      <c r="M328" s="334"/>
      <c r="N328" s="302"/>
      <c r="O328" s="246"/>
      <c r="P328" s="334"/>
      <c r="Q328" s="302"/>
      <c r="R328" s="246"/>
      <c r="S328" s="334"/>
      <c r="T328" s="302"/>
      <c r="U328" s="246"/>
      <c r="V328" s="334"/>
      <c r="W328" s="302"/>
      <c r="X328" s="246"/>
      <c r="Y328" s="334"/>
      <c r="Z328" s="302"/>
      <c r="AA328" s="246"/>
      <c r="AB328" s="334"/>
      <c r="AC328" s="302"/>
      <c r="AD328" s="246"/>
      <c r="AE328" s="334"/>
      <c r="AF328" s="302"/>
      <c r="AG328" s="246"/>
      <c r="AH328" s="334"/>
      <c r="AI328" s="292"/>
      <c r="AJ328" s="61"/>
      <c r="AK328" s="61"/>
      <c r="AL328" s="292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</row>
    <row r="329" spans="1:52" ht="16.5" hidden="1" thickBot="1">
      <c r="A329" s="61"/>
      <c r="B329" s="269"/>
      <c r="C329" s="293" t="s">
        <v>128</v>
      </c>
      <c r="D329" s="293"/>
      <c r="E329" s="421">
        <f>SUM(E323:E327)</f>
        <v>291875.69363455544</v>
      </c>
      <c r="F329" s="253"/>
      <c r="G329" s="422"/>
      <c r="H329" s="421">
        <f>SUM(H323:H327)</f>
        <v>282508.40834710654</v>
      </c>
      <c r="I329" s="253"/>
      <c r="J329" s="422"/>
      <c r="K329" s="421">
        <f>SUM(K323:K327)</f>
        <v>276276.40834710654</v>
      </c>
      <c r="L329" s="253"/>
      <c r="M329" s="422"/>
      <c r="N329" s="421">
        <f>SUM(N323:N327)</f>
        <v>252161.50076013434</v>
      </c>
      <c r="O329" s="253"/>
      <c r="P329" s="422"/>
      <c r="Q329" s="421">
        <f>SUM(Q323:Q327)</f>
        <v>242783.29326445604</v>
      </c>
      <c r="R329" s="253"/>
      <c r="S329" s="422"/>
      <c r="T329" s="421">
        <f>SUM(T323:T327)</f>
        <v>215002.79544050459</v>
      </c>
      <c r="U329" s="253"/>
      <c r="V329" s="422"/>
      <c r="W329" s="421">
        <f>SUM(W323:W327)</f>
        <v>201391.2646163124</v>
      </c>
      <c r="X329" s="253"/>
      <c r="Y329" s="422"/>
      <c r="Z329" s="421">
        <f>SUM(Z323:Z327)</f>
        <v>185526.08860824915</v>
      </c>
      <c r="AA329" s="253"/>
      <c r="AB329" s="422"/>
      <c r="AC329" s="421">
        <f>SUM(AC323:AC327)</f>
        <v>174701.17039373406</v>
      </c>
      <c r="AD329" s="253"/>
      <c r="AE329" s="422"/>
      <c r="AF329" s="421">
        <f>SUM(AF323:AF327)</f>
        <v>144131.76008063206</v>
      </c>
      <c r="AG329" s="253"/>
      <c r="AH329" s="422"/>
      <c r="AI329" s="290"/>
      <c r="AJ329" s="61"/>
      <c r="AK329" s="61"/>
      <c r="AL329" s="290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</row>
    <row r="330" spans="1:52" ht="21" hidden="1" thickBot="1">
      <c r="A330" s="61"/>
      <c r="B330" s="283">
        <v>440</v>
      </c>
      <c r="C330" s="243"/>
      <c r="D330" s="246" t="s">
        <v>93</v>
      </c>
      <c r="E330" s="410">
        <f>E273</f>
        <v>0</v>
      </c>
      <c r="F330" s="283">
        <f>-E330</f>
        <v>0</v>
      </c>
      <c r="G330" s="334"/>
      <c r="H330" s="410">
        <f>H273</f>
        <v>0</v>
      </c>
      <c r="I330" s="283">
        <f>-H330</f>
        <v>0</v>
      </c>
      <c r="J330" s="334"/>
      <c r="K330" s="410">
        <f>K273</f>
        <v>0</v>
      </c>
      <c r="L330" s="283">
        <f>-K330</f>
        <v>0</v>
      </c>
      <c r="M330" s="334"/>
      <c r="N330" s="410">
        <f>N273</f>
        <v>0</v>
      </c>
      <c r="O330" s="283">
        <f>-N330</f>
        <v>0</v>
      </c>
      <c r="P330" s="334"/>
      <c r="Q330" s="410">
        <f>Q273</f>
        <v>0</v>
      </c>
      <c r="R330" s="283">
        <f>-Q330</f>
        <v>0</v>
      </c>
      <c r="S330" s="334"/>
      <c r="T330" s="410">
        <f>T273</f>
        <v>0</v>
      </c>
      <c r="U330" s="283">
        <f>-T330</f>
        <v>0</v>
      </c>
      <c r="V330" s="334"/>
      <c r="W330" s="410">
        <f>W273</f>
        <v>0</v>
      </c>
      <c r="X330" s="283">
        <f>-W330</f>
        <v>0</v>
      </c>
      <c r="Y330" s="334"/>
      <c r="Z330" s="410">
        <f>Z273</f>
        <v>0</v>
      </c>
      <c r="AA330" s="283">
        <f>-Z330</f>
        <v>0</v>
      </c>
      <c r="AB330" s="334"/>
      <c r="AC330" s="410">
        <f>AC273</f>
        <v>0</v>
      </c>
      <c r="AD330" s="283">
        <f>-AC330</f>
        <v>0</v>
      </c>
      <c r="AE330" s="334"/>
      <c r="AF330" s="410">
        <f>AF273</f>
        <v>0</v>
      </c>
      <c r="AG330" s="283">
        <f>-AF330</f>
        <v>0</v>
      </c>
      <c r="AH330" s="334"/>
      <c r="AI330" s="292"/>
      <c r="AJ330" s="100"/>
      <c r="AK330" s="61"/>
      <c r="AL330" s="292"/>
      <c r="AM330" s="100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</row>
    <row r="331" spans="1:52" ht="13.5" hidden="1" thickBot="1">
      <c r="A331" s="61"/>
      <c r="B331" s="269">
        <v>502</v>
      </c>
      <c r="C331" s="648">
        <v>0.16</v>
      </c>
      <c r="D331" s="296" t="s">
        <v>129</v>
      </c>
      <c r="E331" s="296"/>
      <c r="F331" s="269">
        <f>-(E313+E314+E318+E319+E315+E316+E317+F330+E321+E322)*0.16</f>
        <v>-42828.110981528873</v>
      </c>
      <c r="G331" s="408"/>
      <c r="H331" s="296"/>
      <c r="I331" s="269">
        <f>-(H313+H314+H318+H319+H315+H316+H317+I330+H321+H322)*0.16</f>
        <v>-41681.345335537051</v>
      </c>
      <c r="J331" s="408"/>
      <c r="K331" s="296"/>
      <c r="L331" s="269">
        <f>-(K313+K314+K318+K319+K315+K316+K317+L330+K321+K322)*0.16</f>
        <v>-41681.345335537051</v>
      </c>
      <c r="M331" s="408"/>
      <c r="N331" s="296"/>
      <c r="O331" s="269">
        <f>-(N313+N314+N318+N319+N315+N316+N317+O330+N321+N322)*0.16</f>
        <v>-37822.960121621494</v>
      </c>
      <c r="P331" s="408"/>
      <c r="Q331" s="296"/>
      <c r="R331" s="269">
        <f>-(Q313+Q314+Q318+Q319+Q315+Q316+Q317+R330+Q321+Q322)*0.16</f>
        <v>-36322.446922312964</v>
      </c>
      <c r="S331" s="408"/>
      <c r="T331" s="296"/>
      <c r="U331" s="269">
        <f>-(T313+T314+T318+T319+T315+T316+T317+U330+T321+T322)*0.16</f>
        <v>-32035.327270480735</v>
      </c>
      <c r="V331" s="408"/>
      <c r="W331" s="296"/>
      <c r="X331" s="269">
        <f>-(W313+W314+W318+W319+W315+W316+W317+X330+W321+W322)*0.16</f>
        <v>-29857.482338609985</v>
      </c>
      <c r="Y331" s="408"/>
      <c r="Z331" s="296"/>
      <c r="AA331" s="269">
        <f>-(Z313+Z314+Z318+Z319+Z315+Z316+Z317+AA330+Z321+Z322)*0.16</f>
        <v>-27713.934177319865</v>
      </c>
      <c r="AB331" s="408"/>
      <c r="AC331" s="296"/>
      <c r="AD331" s="269">
        <f>-(AC313+AC314+AC318+AC319+AC315+AC316+AC317+AD330+AC321+AC322)*0.16</f>
        <v>-25981.947262997452</v>
      </c>
      <c r="AE331" s="408"/>
      <c r="AF331" s="296"/>
      <c r="AG331" s="269">
        <f>-(AF313+AF314+AF318+AF319+AF315+AF316+AF317+AG330+AF321+AF322)*0.16</f>
        <v>-21435.481612901131</v>
      </c>
      <c r="AH331" s="408"/>
      <c r="AI331" s="251"/>
      <c r="AJ331" s="61"/>
      <c r="AK331" s="61"/>
      <c r="AL331" s="25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</row>
    <row r="332" spans="1:52" ht="13.5" hidden="1" thickBot="1">
      <c r="A332" s="61"/>
      <c r="B332" s="269">
        <v>505</v>
      </c>
      <c r="C332" s="649">
        <v>0.03</v>
      </c>
      <c r="D332" s="296" t="s">
        <v>130</v>
      </c>
      <c r="E332" s="296"/>
      <c r="F332" s="269">
        <f>-(E313+E314+E318+E319+E315+E316+E317+F330+E321+E322)*0.03</f>
        <v>-8030.2708090366632</v>
      </c>
      <c r="G332" s="408"/>
      <c r="H332" s="296"/>
      <c r="I332" s="269">
        <f>-(H313+H314+H318+H319+H315+H316+H317+I330+H321+H322)*0.03</f>
        <v>-7815.2522504131966</v>
      </c>
      <c r="J332" s="408"/>
      <c r="K332" s="296"/>
      <c r="L332" s="269">
        <f>-(K313+K314+K318+K319+K315+K316+K317+L330+K321+K322)*0.03</f>
        <v>-7815.2522504131966</v>
      </c>
      <c r="M332" s="408"/>
      <c r="N332" s="296"/>
      <c r="O332" s="269">
        <f>-(N313+N314+N318+N319+N315+N316+N317+O330+N321+N322)*0.03</f>
        <v>-7091.8050228040302</v>
      </c>
      <c r="P332" s="408"/>
      <c r="Q332" s="296"/>
      <c r="R332" s="269">
        <f>-(Q313+Q314+Q318+Q319+Q315+Q316+Q317+R330+Q321+Q322)*0.03</f>
        <v>-6810.4587979336811</v>
      </c>
      <c r="S332" s="408"/>
      <c r="T332" s="296"/>
      <c r="U332" s="269">
        <f>-(T313+T314+T318+T319+T315+T316+T317+U330+T321+T322)*0.03</f>
        <v>-6006.6238632151371</v>
      </c>
      <c r="V332" s="408"/>
      <c r="W332" s="296"/>
      <c r="X332" s="269">
        <f>-(W313+W314+W318+W319+W315+W316+W317+X330+W321+W322)*0.03</f>
        <v>-5598.277938489372</v>
      </c>
      <c r="Y332" s="408"/>
      <c r="Z332" s="296"/>
      <c r="AA332" s="269">
        <f>-(Z313+Z314+Z318+Z319+Z315+Z316+Z317+AA330+Z321+Z322)*0.03</f>
        <v>-5196.3626582474744</v>
      </c>
      <c r="AB332" s="408"/>
      <c r="AC332" s="296"/>
      <c r="AD332" s="269">
        <f>-(AC313+AC314+AC318+AC319+AC315+AC316+AC317+AD330+AC321+AC322)*0.03</f>
        <v>-4871.6151118120215</v>
      </c>
      <c r="AE332" s="408"/>
      <c r="AF332" s="296"/>
      <c r="AG332" s="269">
        <f>-(AF313+AF314+AF318+AF319+AF315+AF316+AF317+AG330+AF321+AF322)*0.03</f>
        <v>-4019.1528024189615</v>
      </c>
      <c r="AH332" s="408"/>
      <c r="AI332" s="251"/>
      <c r="AJ332" s="61"/>
      <c r="AK332" s="61"/>
      <c r="AL332" s="25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</row>
    <row r="333" spans="1:52" ht="16.5" hidden="1" thickBot="1">
      <c r="A333" s="61"/>
      <c r="B333" s="245">
        <v>332</v>
      </c>
      <c r="C333" s="598">
        <f>C276</f>
        <v>0</v>
      </c>
      <c r="D333" s="249" t="s">
        <v>97</v>
      </c>
      <c r="E333" s="249"/>
      <c r="F333" s="283">
        <f>-(E313+E314+E318+E315+E319+E317+E316+E317+F330+E321+E322)*$C333</f>
        <v>0</v>
      </c>
      <c r="G333" s="423"/>
      <c r="H333" s="249"/>
      <c r="I333" s="283">
        <f>-(H313+H314+H318+H315+H319+H317+H316+H317+I330+H321+H322)*$C333</f>
        <v>0</v>
      </c>
      <c r="J333" s="423"/>
      <c r="K333" s="249"/>
      <c r="L333" s="283">
        <f>-(K313+K314+K318+K315+K319+K317+K316+K317+L330+K321+K322)*C333</f>
        <v>0</v>
      </c>
      <c r="M333" s="423"/>
      <c r="N333" s="249"/>
      <c r="O333" s="283">
        <f>-(N313+N314+N318+N315+N319+N317+N316+N317+O330+N321+N322)*C333</f>
        <v>0</v>
      </c>
      <c r="P333" s="423"/>
      <c r="Q333" s="249"/>
      <c r="R333" s="283">
        <f>-(Q313+Q314+Q318+Q315+Q319+Q317+Q316+Q317+R330+Q321+Q322)*C333</f>
        <v>0</v>
      </c>
      <c r="S333" s="423"/>
      <c r="T333" s="249"/>
      <c r="U333" s="283">
        <f>-(T313+T314+T318+T315+T319+T317+T316+T317+U330+T321+T322)*C333</f>
        <v>0</v>
      </c>
      <c r="V333" s="423"/>
      <c r="W333" s="249"/>
      <c r="X333" s="283">
        <f>-(W313+W314+W318+W315+W319+W317+W316+W317+X330+W321+W322)*C333</f>
        <v>0</v>
      </c>
      <c r="Y333" s="423"/>
      <c r="Z333" s="249"/>
      <c r="AA333" s="283">
        <f>-(Z313+Z314+Z318+Z315+Z319+Z317+Z316+Z317+AA330+Z321+Z322)*C333</f>
        <v>0</v>
      </c>
      <c r="AB333" s="423"/>
      <c r="AC333" s="249"/>
      <c r="AD333" s="283">
        <f>-(AC313+AC314+AC318+AC315+AC319+AC317+AC316+AC317+AD330+AC321+AC322)*C333</f>
        <v>0</v>
      </c>
      <c r="AE333" s="423"/>
      <c r="AF333" s="249"/>
      <c r="AG333" s="283">
        <f>-(AF313+AF314+AF318+AF315+AF319+AF317+AF316+AF317+AG330+AF321+AF322)*C333</f>
        <v>0</v>
      </c>
      <c r="AH333" s="423"/>
      <c r="AI333" s="251"/>
      <c r="AJ333" s="61"/>
      <c r="AK333" s="61"/>
      <c r="AL333" s="25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</row>
    <row r="334" spans="1:52" ht="16.5" hidden="1" thickBot="1">
      <c r="A334" s="61"/>
      <c r="B334" s="252" t="s">
        <v>98</v>
      </c>
      <c r="C334" s="598">
        <f>C277</f>
        <v>0</v>
      </c>
      <c r="D334" s="253"/>
      <c r="E334" s="253"/>
      <c r="F334" s="269">
        <f>-(E313+E314+E318+E319+E315+E316+E317+F330+E321)*$C334</f>
        <v>0</v>
      </c>
      <c r="G334" s="407"/>
      <c r="H334" s="253"/>
      <c r="I334" s="269">
        <f>-(H313+H314+H318+H319+H315+H316+H317+I330+H321)*$C334</f>
        <v>0</v>
      </c>
      <c r="J334" s="407"/>
      <c r="K334" s="253"/>
      <c r="L334" s="269">
        <f>-(K313+K314+K318+K319+K315+K316+K317+L330+K321)*C334</f>
        <v>0</v>
      </c>
      <c r="M334" s="407"/>
      <c r="N334" s="253"/>
      <c r="O334" s="269">
        <f>-(N313+N314+N318+N319+N315+N316+N317+O330+N321)*C334</f>
        <v>0</v>
      </c>
      <c r="P334" s="407"/>
      <c r="Q334" s="253"/>
      <c r="R334" s="269">
        <f>-(Q313+Q314+Q318+Q319+Q315+Q316+Q317+R330+Q321)*C334</f>
        <v>0</v>
      </c>
      <c r="S334" s="407"/>
      <c r="T334" s="253"/>
      <c r="U334" s="269">
        <f>-(T313+T314+T318+T319+T315+T316+T317+U330+T321)*C334</f>
        <v>0</v>
      </c>
      <c r="V334" s="407"/>
      <c r="W334" s="253"/>
      <c r="X334" s="269">
        <f>-(W313+W314+W318+W319+W315+W316+W317+X330+W321)*C334</f>
        <v>0</v>
      </c>
      <c r="Y334" s="407"/>
      <c r="Z334" s="253"/>
      <c r="AA334" s="269">
        <f>-(Z313+Z314+Z318+Z319+Z315+Z316+Z317+AA330+Z321)*C334</f>
        <v>0</v>
      </c>
      <c r="AB334" s="407"/>
      <c r="AC334" s="253"/>
      <c r="AD334" s="269">
        <f>-(AC313+AC314+AC318+AC319+AC315+AC316+AC317+AD330+AC321)*C334</f>
        <v>0</v>
      </c>
      <c r="AE334" s="407"/>
      <c r="AF334" s="253"/>
      <c r="AG334" s="269">
        <f>-(AF313+AF314+AF318+AF319+AF315+AF316+AF317+AG330+AF321)*C334</f>
        <v>0</v>
      </c>
      <c r="AH334" s="407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</row>
    <row r="335" spans="1:52" ht="16.5" hidden="1" thickBot="1">
      <c r="A335" s="61"/>
      <c r="B335" s="243"/>
      <c r="C335" s="243"/>
      <c r="D335" s="307" t="s">
        <v>99</v>
      </c>
      <c r="E335" s="243"/>
      <c r="F335" s="325">
        <f>SUM(F331:F334)</f>
        <v>-50858.381790565538</v>
      </c>
      <c r="G335" s="424"/>
      <c r="H335" s="243"/>
      <c r="I335" s="325">
        <f>SUM(I331:I334)</f>
        <v>-49496.597585950251</v>
      </c>
      <c r="J335" s="424"/>
      <c r="K335" s="243"/>
      <c r="L335" s="325">
        <f>SUM(L331:L334)</f>
        <v>-49496.597585950251</v>
      </c>
      <c r="M335" s="424"/>
      <c r="N335" s="243"/>
      <c r="O335" s="325">
        <f>SUM(O331:O334)</f>
        <v>-44914.765144425524</v>
      </c>
      <c r="P335" s="424"/>
      <c r="Q335" s="243"/>
      <c r="R335" s="325">
        <f>SUM(R331:R334)</f>
        <v>-43132.905720246643</v>
      </c>
      <c r="S335" s="424"/>
      <c r="T335" s="243"/>
      <c r="U335" s="325">
        <f>SUM(U331:U334)</f>
        <v>-38041.951133695875</v>
      </c>
      <c r="V335" s="424"/>
      <c r="W335" s="243"/>
      <c r="X335" s="325">
        <f>SUM(X331:X334)</f>
        <v>-35455.760277099354</v>
      </c>
      <c r="Y335" s="424"/>
      <c r="Z335" s="243"/>
      <c r="AA335" s="325">
        <f>SUM(AA331:AA334)</f>
        <v>-32910.296835567337</v>
      </c>
      <c r="AB335" s="424"/>
      <c r="AC335" s="243"/>
      <c r="AD335" s="325">
        <f>SUM(AD331:AD334)</f>
        <v>-30853.562374809473</v>
      </c>
      <c r="AE335" s="424"/>
      <c r="AF335" s="243"/>
      <c r="AG335" s="325">
        <f>SUM(AG331:AG334)</f>
        <v>-25454.634415320092</v>
      </c>
      <c r="AH335" s="424"/>
      <c r="AI335" s="70"/>
      <c r="AJ335" s="70"/>
      <c r="AK335" s="61"/>
      <c r="AL335" s="70"/>
      <c r="AM335" s="70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</row>
    <row r="336" spans="1:52" ht="13.5" hidden="1" thickBot="1">
      <c r="A336" s="61"/>
      <c r="B336" s="283"/>
      <c r="C336" s="246"/>
      <c r="D336" s="246"/>
      <c r="E336" s="246"/>
      <c r="F336" s="246"/>
      <c r="G336" s="334"/>
      <c r="H336" s="246"/>
      <c r="I336" s="246"/>
      <c r="J336" s="334"/>
      <c r="K336" s="246"/>
      <c r="L336" s="246"/>
      <c r="M336" s="334"/>
      <c r="N336" s="246"/>
      <c r="O336" s="246"/>
      <c r="P336" s="334"/>
      <c r="Q336" s="246"/>
      <c r="R336" s="246"/>
      <c r="S336" s="334"/>
      <c r="T336" s="246"/>
      <c r="U336" s="246"/>
      <c r="V336" s="334"/>
      <c r="W336" s="246"/>
      <c r="X336" s="246"/>
      <c r="Y336" s="334"/>
      <c r="Z336" s="246"/>
      <c r="AA336" s="246"/>
      <c r="AB336" s="334"/>
      <c r="AC336" s="246"/>
      <c r="AD336" s="246"/>
      <c r="AE336" s="334"/>
      <c r="AF336" s="246"/>
      <c r="AG336" s="246"/>
      <c r="AH336" s="334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</row>
    <row r="337" spans="1:52" ht="24" hidden="1" thickBot="1">
      <c r="A337" s="61"/>
      <c r="B337" s="283"/>
      <c r="C337" s="246"/>
      <c r="D337" s="307"/>
      <c r="E337" s="307" t="s">
        <v>100</v>
      </c>
      <c r="F337" s="425">
        <f>E329+F335</f>
        <v>241017.31184398991</v>
      </c>
      <c r="G337" s="424"/>
      <c r="H337" s="307" t="s">
        <v>100</v>
      </c>
      <c r="I337" s="425">
        <f>H329+I335</f>
        <v>233011.81076115629</v>
      </c>
      <c r="J337" s="424"/>
      <c r="K337" s="307" t="s">
        <v>100</v>
      </c>
      <c r="L337" s="425">
        <f>K329+L335</f>
        <v>226779.81076115629</v>
      </c>
      <c r="M337" s="424"/>
      <c r="N337" s="307" t="s">
        <v>100</v>
      </c>
      <c r="O337" s="425">
        <f>N329+O335</f>
        <v>207246.73561570881</v>
      </c>
      <c r="P337" s="424"/>
      <c r="Q337" s="307" t="s">
        <v>100</v>
      </c>
      <c r="R337" s="425">
        <f>Q329+R335</f>
        <v>199650.3875442094</v>
      </c>
      <c r="S337" s="424"/>
      <c r="T337" s="307" t="s">
        <v>100</v>
      </c>
      <c r="U337" s="425">
        <f>T329+U335</f>
        <v>176960.84430680872</v>
      </c>
      <c r="V337" s="424"/>
      <c r="W337" s="307" t="s">
        <v>100</v>
      </c>
      <c r="X337" s="425">
        <f>W329+X335</f>
        <v>165935.50433921305</v>
      </c>
      <c r="Y337" s="424"/>
      <c r="Z337" s="307" t="s">
        <v>100</v>
      </c>
      <c r="AA337" s="425">
        <f>Z329+AA335</f>
        <v>152615.79177268181</v>
      </c>
      <c r="AB337" s="424"/>
      <c r="AC337" s="307" t="s">
        <v>100</v>
      </c>
      <c r="AD337" s="425">
        <f>AC329+AD335</f>
        <v>143847.6080189246</v>
      </c>
      <c r="AE337" s="424"/>
      <c r="AF337" s="307" t="s">
        <v>100</v>
      </c>
      <c r="AG337" s="425">
        <f>AF329+AG335</f>
        <v>118677.12566531196</v>
      </c>
      <c r="AH337" s="424"/>
      <c r="AI337" s="61"/>
      <c r="AJ337" s="69"/>
      <c r="AK337" s="426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</row>
    <row r="338" spans="1:52" ht="24" hidden="1" thickBot="1">
      <c r="A338" s="61"/>
      <c r="B338" s="283"/>
      <c r="C338" s="246"/>
      <c r="D338" s="307"/>
      <c r="E338" s="307"/>
      <c r="F338" s="427"/>
      <c r="G338" s="424"/>
      <c r="H338" s="307"/>
      <c r="I338" s="427"/>
      <c r="J338" s="424"/>
      <c r="K338" s="307"/>
      <c r="L338" s="427"/>
      <c r="M338" s="424"/>
      <c r="N338" s="307"/>
      <c r="O338" s="427"/>
      <c r="P338" s="424"/>
      <c r="Q338" s="307"/>
      <c r="R338" s="427"/>
      <c r="S338" s="424"/>
      <c r="T338" s="307"/>
      <c r="U338" s="427"/>
      <c r="V338" s="424"/>
      <c r="W338" s="307"/>
      <c r="X338" s="427"/>
      <c r="Y338" s="424"/>
      <c r="Z338" s="307"/>
      <c r="AA338" s="427"/>
      <c r="AB338" s="424"/>
      <c r="AC338" s="307"/>
      <c r="AD338" s="427"/>
      <c r="AE338" s="424"/>
      <c r="AF338" s="307"/>
      <c r="AG338" s="427"/>
      <c r="AH338" s="424"/>
      <c r="AI338" s="69"/>
      <c r="AJ338" s="426"/>
      <c r="AK338" s="61"/>
      <c r="AL338" s="69"/>
      <c r="AM338" s="426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</row>
    <row r="339" spans="1:52" ht="18.75" hidden="1" thickBot="1">
      <c r="A339" s="61"/>
      <c r="B339" s="245"/>
      <c r="C339" s="307"/>
      <c r="D339" s="428"/>
      <c r="E339" s="311" t="s">
        <v>104</v>
      </c>
      <c r="F339" s="312">
        <f>F337-I337</f>
        <v>8005.5010828336235</v>
      </c>
      <c r="G339" s="429"/>
      <c r="H339" s="311" t="s">
        <v>104</v>
      </c>
      <c r="I339" s="312">
        <f>I337-L337</f>
        <v>6232</v>
      </c>
      <c r="J339" s="429"/>
      <c r="K339" s="311" t="s">
        <v>104</v>
      </c>
      <c r="L339" s="312">
        <f>L337-O337</f>
        <v>19533.075145447481</v>
      </c>
      <c r="M339" s="429"/>
      <c r="N339" s="311" t="s">
        <v>104</v>
      </c>
      <c r="O339" s="312">
        <f>O337-R337</f>
        <v>7596.3480714994075</v>
      </c>
      <c r="P339" s="429"/>
      <c r="Q339" s="311" t="s">
        <v>104</v>
      </c>
      <c r="R339" s="312">
        <f>R337-U337</f>
        <v>22689.543237400678</v>
      </c>
      <c r="S339" s="429"/>
      <c r="T339" s="311" t="s">
        <v>104</v>
      </c>
      <c r="U339" s="312">
        <f>U337-X337</f>
        <v>11025.339967595675</v>
      </c>
      <c r="V339" s="429"/>
      <c r="W339" s="311" t="s">
        <v>104</v>
      </c>
      <c r="X339" s="312">
        <f>X337-AA337</f>
        <v>13319.712566531234</v>
      </c>
      <c r="Y339" s="429"/>
      <c r="Z339" s="311" t="s">
        <v>104</v>
      </c>
      <c r="AA339" s="312">
        <f>AA337-AD337</f>
        <v>8768.1837537572137</v>
      </c>
      <c r="AB339" s="429"/>
      <c r="AC339" s="311" t="s">
        <v>104</v>
      </c>
      <c r="AD339" s="312">
        <f>AD337-AG337</f>
        <v>25170.482353612635</v>
      </c>
      <c r="AE339" s="429"/>
      <c r="AF339" s="311"/>
      <c r="AG339" s="312"/>
      <c r="AH339" s="429"/>
      <c r="AI339" s="73"/>
      <c r="AJ339" s="316"/>
      <c r="AK339" s="430"/>
      <c r="AL339" s="73"/>
      <c r="AM339" s="316"/>
      <c r="AN339" s="430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</row>
    <row r="340" spans="1:52" ht="18.75" hidden="1" thickBot="1">
      <c r="A340" s="61"/>
      <c r="B340" s="245"/>
      <c r="C340" s="307"/>
      <c r="D340" s="428"/>
      <c r="E340" s="311" t="s">
        <v>105</v>
      </c>
      <c r="F340" s="580">
        <f>F339/I337</f>
        <v>3.4356632209684379E-2</v>
      </c>
      <c r="G340" s="429"/>
      <c r="H340" s="311" t="s">
        <v>105</v>
      </c>
      <c r="I340" s="580">
        <f>I339/L337</f>
        <v>2.7480400389625164E-2</v>
      </c>
      <c r="J340" s="429"/>
      <c r="K340" s="311" t="s">
        <v>105</v>
      </c>
      <c r="L340" s="580">
        <f>L339/O337</f>
        <v>9.4250339275148129E-2</v>
      </c>
      <c r="M340" s="429"/>
      <c r="N340" s="311" t="s">
        <v>105</v>
      </c>
      <c r="O340" s="580">
        <f>O339/R337</f>
        <v>3.8048251069972588E-2</v>
      </c>
      <c r="P340" s="429"/>
      <c r="Q340" s="311" t="s">
        <v>105</v>
      </c>
      <c r="R340" s="580">
        <f>R339/U337</f>
        <v>0.1282178739951213</v>
      </c>
      <c r="S340" s="429"/>
      <c r="T340" s="311" t="s">
        <v>105</v>
      </c>
      <c r="U340" s="580">
        <f>U339/X337</f>
        <v>6.6443525823486005E-2</v>
      </c>
      <c r="V340" s="429"/>
      <c r="W340" s="311" t="s">
        <v>105</v>
      </c>
      <c r="X340" s="580">
        <f>X339/AA337</f>
        <v>8.7276109580918609E-2</v>
      </c>
      <c r="Y340" s="429"/>
      <c r="Z340" s="311" t="s">
        <v>105</v>
      </c>
      <c r="AA340" s="580">
        <f>AA339/AD337</f>
        <v>6.0954671923384857E-2</v>
      </c>
      <c r="AB340" s="429"/>
      <c r="AC340" s="311" t="s">
        <v>105</v>
      </c>
      <c r="AD340" s="580">
        <f>AD339/AG337</f>
        <v>0.21209211305468695</v>
      </c>
      <c r="AE340" s="429"/>
      <c r="AF340" s="311"/>
      <c r="AG340" s="315"/>
      <c r="AH340" s="429"/>
      <c r="AI340" s="73"/>
      <c r="AJ340" s="316"/>
      <c r="AK340" s="430"/>
      <c r="AL340" s="73"/>
      <c r="AM340" s="316"/>
      <c r="AN340" s="430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</row>
    <row r="341" spans="1:52" ht="18.75" hidden="1" thickBot="1">
      <c r="A341" s="61"/>
      <c r="B341" s="245"/>
      <c r="C341" s="307"/>
      <c r="D341" s="428"/>
      <c r="E341" s="246"/>
      <c r="F341" s="246"/>
      <c r="G341" s="429"/>
      <c r="H341" s="246"/>
      <c r="I341" s="246"/>
      <c r="J341" s="429"/>
      <c r="K341" s="246"/>
      <c r="L341" s="246"/>
      <c r="M341" s="429"/>
      <c r="N341" s="246"/>
      <c r="O341" s="246"/>
      <c r="P341" s="429"/>
      <c r="Q341" s="246"/>
      <c r="R341" s="246"/>
      <c r="S341" s="429"/>
      <c r="T341" s="246"/>
      <c r="U341" s="246"/>
      <c r="V341" s="429"/>
      <c r="W341" s="246"/>
      <c r="X341" s="246"/>
      <c r="Y341" s="429"/>
      <c r="Z341" s="246"/>
      <c r="AA341" s="246"/>
      <c r="AB341" s="429"/>
      <c r="AC341" s="246"/>
      <c r="AD341" s="246"/>
      <c r="AE341" s="429"/>
      <c r="AF341" s="246"/>
      <c r="AG341" s="246"/>
      <c r="AH341" s="429"/>
      <c r="AI341" s="73"/>
      <c r="AJ341" s="316"/>
      <c r="AK341" s="430"/>
      <c r="AL341" s="73"/>
      <c r="AM341" s="316"/>
      <c r="AN341" s="430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</row>
    <row r="342" spans="1:52" ht="18.75" hidden="1" thickBot="1">
      <c r="A342" s="61"/>
      <c r="B342" s="245"/>
      <c r="C342" s="307"/>
      <c r="D342" s="428"/>
      <c r="E342" s="317" t="s">
        <v>496</v>
      </c>
      <c r="F342" s="318">
        <f>F337-AG337</f>
        <v>122340.18617867795</v>
      </c>
      <c r="G342" s="294"/>
      <c r="H342" s="317" t="s">
        <v>496</v>
      </c>
      <c r="I342" s="318">
        <f>I337-AG337</f>
        <v>114334.68509584432</v>
      </c>
      <c r="J342" s="294"/>
      <c r="K342" s="317" t="s">
        <v>496</v>
      </c>
      <c r="L342" s="318">
        <f>L337-AG337</f>
        <v>108102.68509584432</v>
      </c>
      <c r="M342" s="294"/>
      <c r="N342" s="317" t="s">
        <v>496</v>
      </c>
      <c r="O342" s="318">
        <f>O337-AG337</f>
        <v>88569.609950396843</v>
      </c>
      <c r="P342" s="294"/>
      <c r="Q342" s="317" t="s">
        <v>496</v>
      </c>
      <c r="R342" s="318">
        <f>R337-AG337</f>
        <v>80973.261878897436</v>
      </c>
      <c r="S342" s="294"/>
      <c r="T342" s="317" t="s">
        <v>496</v>
      </c>
      <c r="U342" s="318">
        <f>U337-AG337</f>
        <v>58283.718641496758</v>
      </c>
      <c r="V342" s="294"/>
      <c r="W342" s="317" t="s">
        <v>496</v>
      </c>
      <c r="X342" s="318">
        <f>X337-AG337</f>
        <v>47258.378673901083</v>
      </c>
      <c r="Y342" s="294"/>
      <c r="Z342" s="317" t="s">
        <v>496</v>
      </c>
      <c r="AA342" s="318">
        <f>AA337-AG337</f>
        <v>33938.666107369849</v>
      </c>
      <c r="AB342" s="294"/>
      <c r="AC342" s="317" t="s">
        <v>496</v>
      </c>
      <c r="AD342" s="318">
        <f>AD337-AG337</f>
        <v>25170.482353612635</v>
      </c>
      <c r="AE342" s="429"/>
      <c r="AF342" s="317"/>
      <c r="AG342" s="321"/>
      <c r="AH342" s="429"/>
      <c r="AI342" s="73"/>
      <c r="AJ342" s="316"/>
      <c r="AK342" s="430"/>
      <c r="AL342" s="73"/>
      <c r="AM342" s="316"/>
      <c r="AN342" s="430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</row>
    <row r="343" spans="1:52" ht="18.75" hidden="1" thickBot="1">
      <c r="A343" s="61"/>
      <c r="B343" s="245"/>
      <c r="C343" s="307"/>
      <c r="D343" s="428"/>
      <c r="E343" s="317" t="s">
        <v>497</v>
      </c>
      <c r="F343" s="579">
        <f>F342/AG337</f>
        <v>1.0308657670366603</v>
      </c>
      <c r="G343" s="294"/>
      <c r="H343" s="317" t="s">
        <v>497</v>
      </c>
      <c r="I343" s="579">
        <f>I342/AG337</f>
        <v>0.96340962468442315</v>
      </c>
      <c r="J343" s="294"/>
      <c r="K343" s="317" t="s">
        <v>497</v>
      </c>
      <c r="L343" s="579">
        <f>L342/AG337</f>
        <v>0.91089739905490119</v>
      </c>
      <c r="M343" s="294"/>
      <c r="N343" s="317" t="s">
        <v>497</v>
      </c>
      <c r="O343" s="579">
        <f>O342/AG337</f>
        <v>0.74630733980006381</v>
      </c>
      <c r="P343" s="294"/>
      <c r="Q343" s="317" t="s">
        <v>497</v>
      </c>
      <c r="R343" s="579">
        <f>R342/AG337</f>
        <v>0.68229881221807387</v>
      </c>
      <c r="S343" s="294"/>
      <c r="T343" s="317" t="s">
        <v>497</v>
      </c>
      <c r="U343" s="579">
        <f>U342/AG337</f>
        <v>0.49111164695601028</v>
      </c>
      <c r="V343" s="294"/>
      <c r="W343" s="317" t="s">
        <v>497</v>
      </c>
      <c r="X343" s="579">
        <f>X342/AG337</f>
        <v>0.39820966685001369</v>
      </c>
      <c r="Y343" s="294"/>
      <c r="Z343" s="317" t="s">
        <v>497</v>
      </c>
      <c r="AA343" s="579">
        <f>AA342/AG337</f>
        <v>0.28597479014685773</v>
      </c>
      <c r="AB343" s="294"/>
      <c r="AC343" s="317" t="s">
        <v>497</v>
      </c>
      <c r="AD343" s="579">
        <f>AD342/AG337</f>
        <v>0.21209211305468695</v>
      </c>
      <c r="AE343" s="429"/>
      <c r="AF343" s="317"/>
      <c r="AG343" s="319"/>
      <c r="AH343" s="429"/>
      <c r="AI343" s="73"/>
      <c r="AJ343" s="316"/>
      <c r="AK343" s="430"/>
      <c r="AL343" s="73"/>
      <c r="AM343" s="316"/>
      <c r="AN343" s="430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</row>
    <row r="344" spans="1:52" ht="18.75" hidden="1" thickBot="1">
      <c r="A344" s="61"/>
      <c r="B344" s="245"/>
      <c r="C344" s="307"/>
      <c r="D344" s="428"/>
      <c r="E344" s="246"/>
      <c r="F344" s="246"/>
      <c r="G344" s="429"/>
      <c r="H344" s="246"/>
      <c r="I344" s="246"/>
      <c r="J344" s="429"/>
      <c r="K344" s="246"/>
      <c r="L344" s="246"/>
      <c r="M344" s="429"/>
      <c r="N344" s="246"/>
      <c r="O344" s="246"/>
      <c r="P344" s="429"/>
      <c r="Q344" s="246"/>
      <c r="R344" s="246"/>
      <c r="S344" s="429"/>
      <c r="T344" s="246"/>
      <c r="U344" s="246"/>
      <c r="V344" s="429"/>
      <c r="W344" s="246"/>
      <c r="X344" s="246"/>
      <c r="Y344" s="429"/>
      <c r="Z344" s="246"/>
      <c r="AA344" s="246"/>
      <c r="AB344" s="429"/>
      <c r="AC344" s="246"/>
      <c r="AD344" s="246"/>
      <c r="AE344" s="429"/>
      <c r="AF344" s="246"/>
      <c r="AG344" s="246"/>
      <c r="AH344" s="429"/>
      <c r="AI344" s="73"/>
      <c r="AJ344" s="316"/>
      <c r="AK344" s="430"/>
      <c r="AL344" s="73"/>
      <c r="AM344" s="316"/>
      <c r="AN344" s="430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</row>
    <row r="345" spans="1:52" ht="18.75" hidden="1" thickBot="1">
      <c r="A345" s="61"/>
      <c r="B345" s="245"/>
      <c r="C345" s="307"/>
      <c r="D345" s="428"/>
      <c r="E345" s="228" t="s">
        <v>530</v>
      </c>
      <c r="F345" s="318">
        <f>(F337-E325-E326-E327)-($AG$337-$AF$325-$AF$326-$AF$327)</f>
        <v>108300.18617867795</v>
      </c>
      <c r="G345" s="294"/>
      <c r="H345" s="228" t="s">
        <v>530</v>
      </c>
      <c r="I345" s="318">
        <f>(I337-H325-H326-H327)-($AG$337-$AF$325-$AF$326-$AF$327)</f>
        <v>102494.68509584432</v>
      </c>
      <c r="J345" s="294"/>
      <c r="K345" s="228" t="s">
        <v>530</v>
      </c>
      <c r="L345" s="318">
        <f>(L337-K325-K326)-($AG$337-$AF$325-$AF$326)</f>
        <v>102494.68509584432</v>
      </c>
      <c r="M345" s="294"/>
      <c r="N345" s="228" t="s">
        <v>530</v>
      </c>
      <c r="O345" s="318">
        <f>(O337-N325-N326)-($AG$337-$AF$325-$AF$326)</f>
        <v>82961.609950396843</v>
      </c>
      <c r="P345" s="294"/>
      <c r="Q345" s="228" t="s">
        <v>530</v>
      </c>
      <c r="R345" s="318">
        <f>(R337-Q325-Q326)-($AG$337-$AF$325-$AF$326)</f>
        <v>75365.261878897436</v>
      </c>
      <c r="S345" s="294"/>
      <c r="T345" s="228" t="s">
        <v>530</v>
      </c>
      <c r="U345" s="318">
        <f>(U337-T325-T326)-($AG$337-$AF$325-$AF$326)</f>
        <v>53661.718641496758</v>
      </c>
      <c r="V345" s="294"/>
      <c r="W345" s="228" t="s">
        <v>530</v>
      </c>
      <c r="X345" s="318">
        <f>(X337-W325-W326)-($AG$337-$AF$325-$AF$326)</f>
        <v>42636.378673901083</v>
      </c>
      <c r="Y345" s="294"/>
      <c r="Z345" s="228" t="s">
        <v>530</v>
      </c>
      <c r="AA345" s="318">
        <f>(AA337-Z325-Z326)-(AG337-AF325-AF326)</f>
        <v>31784.666107369849</v>
      </c>
      <c r="AB345" s="294"/>
      <c r="AC345" s="228" t="s">
        <v>530</v>
      </c>
      <c r="AD345" s="318">
        <f>(AD337-AC325-AC326)-(AG337-AF325-AF326)</f>
        <v>23016.482353612635</v>
      </c>
      <c r="AE345" s="429"/>
      <c r="AF345" s="320"/>
      <c r="AG345" s="321"/>
      <c r="AH345" s="429"/>
      <c r="AI345" s="73"/>
      <c r="AJ345" s="316"/>
      <c r="AK345" s="430"/>
      <c r="AL345" s="73"/>
      <c r="AM345" s="316"/>
      <c r="AN345" s="430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</row>
    <row r="346" spans="1:52" ht="18.75" hidden="1" thickBot="1">
      <c r="A346" s="61"/>
      <c r="B346" s="245"/>
      <c r="C346" s="307"/>
      <c r="D346" s="428"/>
      <c r="E346" s="230" t="s">
        <v>531</v>
      </c>
      <c r="F346" s="579">
        <f>F345/($AG$337-$AF$325-$AF$326)</f>
        <v>0.99800087326950493</v>
      </c>
      <c r="G346" s="294"/>
      <c r="H346" s="230" t="s">
        <v>531</v>
      </c>
      <c r="I346" s="579">
        <f>I345/($AG$337-$AF$325-$AF$326)</f>
        <v>0.94450239505935663</v>
      </c>
      <c r="J346" s="294"/>
      <c r="K346" s="230" t="s">
        <v>531</v>
      </c>
      <c r="L346" s="579">
        <f>L345/($AG$337-$AF$325-$AF$326)</f>
        <v>0.94450239505935663</v>
      </c>
      <c r="M346" s="294"/>
      <c r="N346" s="230" t="s">
        <v>531</v>
      </c>
      <c r="O346" s="579">
        <f>O345/($AG$337-$AF$325-$AF$326)</f>
        <v>0.76450246393612264</v>
      </c>
      <c r="P346" s="294"/>
      <c r="Q346" s="230" t="s">
        <v>531</v>
      </c>
      <c r="R346" s="579">
        <f>R345/($AG$337-$AF$325-$AF$326)</f>
        <v>0.69450108834746183</v>
      </c>
      <c r="S346" s="294"/>
      <c r="T346" s="230" t="s">
        <v>531</v>
      </c>
      <c r="U346" s="579">
        <f>U345/($AG$337-$AF$325-$AF$326)</f>
        <v>0.49449999999999994</v>
      </c>
      <c r="V346" s="294"/>
      <c r="W346" s="230" t="s">
        <v>531</v>
      </c>
      <c r="X346" s="579">
        <f>X345/($AG$337-$AF$325-$AF$326)</f>
        <v>0.39290000000000014</v>
      </c>
      <c r="Y346" s="294"/>
      <c r="Z346" s="230" t="s">
        <v>531</v>
      </c>
      <c r="AA346" s="579">
        <f>AA345/(AG337-AF325-AF326)</f>
        <v>0.29289999999999977</v>
      </c>
      <c r="AB346" s="294"/>
      <c r="AC346" s="230" t="s">
        <v>531</v>
      </c>
      <c r="AD346" s="579">
        <f>AD345/(AG337-AF325-AF326)</f>
        <v>0.21209999999999971</v>
      </c>
      <c r="AE346" s="429"/>
      <c r="AF346" s="320"/>
      <c r="AG346" s="319"/>
      <c r="AH346" s="429"/>
      <c r="AI346" s="73"/>
      <c r="AJ346" s="316"/>
      <c r="AK346" s="430"/>
      <c r="AL346" s="73"/>
      <c r="AM346" s="316"/>
      <c r="AN346" s="430"/>
      <c r="AO346" s="61"/>
      <c r="AP346" s="61"/>
      <c r="AQ346" s="61"/>
      <c r="AR346" s="61"/>
      <c r="AS346" s="61"/>
      <c r="AT346" s="61"/>
      <c r="AU346" s="61"/>
      <c r="AV346" s="61"/>
      <c r="AW346" s="61"/>
      <c r="AX346" s="61"/>
      <c r="AY346" s="61"/>
      <c r="AZ346" s="61"/>
    </row>
    <row r="347" spans="1:52" ht="18.75" hidden="1" thickBot="1">
      <c r="A347" s="61"/>
      <c r="B347" s="245"/>
      <c r="C347" s="307"/>
      <c r="D347" s="428"/>
      <c r="E347" s="328"/>
      <c r="F347" s="431"/>
      <c r="G347" s="429"/>
      <c r="H347" s="328"/>
      <c r="I347" s="431"/>
      <c r="J347" s="429"/>
      <c r="K347" s="328"/>
      <c r="L347" s="431"/>
      <c r="M347" s="429"/>
      <c r="N347" s="328"/>
      <c r="O347" s="431"/>
      <c r="P347" s="429"/>
      <c r="Q347" s="328"/>
      <c r="R347" s="431"/>
      <c r="S347" s="429"/>
      <c r="T347" s="328"/>
      <c r="U347" s="431"/>
      <c r="V347" s="429"/>
      <c r="W347" s="328"/>
      <c r="X347" s="431"/>
      <c r="Y347" s="429"/>
      <c r="Z347" s="328"/>
      <c r="AA347" s="431"/>
      <c r="AB347" s="429"/>
      <c r="AC347" s="328"/>
      <c r="AD347" s="431"/>
      <c r="AE347" s="429"/>
      <c r="AF347" s="328"/>
      <c r="AG347" s="431"/>
      <c r="AH347" s="429"/>
      <c r="AI347" s="73"/>
      <c r="AJ347" s="316"/>
      <c r="AK347" s="430"/>
      <c r="AL347" s="73"/>
      <c r="AM347" s="316"/>
      <c r="AN347" s="430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</row>
    <row r="348" spans="1:52" ht="18.75" hidden="1" thickBot="1">
      <c r="A348" s="61"/>
      <c r="B348" s="245"/>
      <c r="C348" s="307"/>
      <c r="D348" s="428"/>
      <c r="E348" s="307" t="s">
        <v>106</v>
      </c>
      <c r="F348" s="310"/>
      <c r="G348" s="429"/>
      <c r="H348" s="307" t="s">
        <v>106</v>
      </c>
      <c r="I348" s="310"/>
      <c r="J348" s="429"/>
      <c r="K348" s="307" t="s">
        <v>106</v>
      </c>
      <c r="L348" s="310"/>
      <c r="M348" s="429"/>
      <c r="N348" s="307" t="s">
        <v>106</v>
      </c>
      <c r="O348" s="310"/>
      <c r="P348" s="429"/>
      <c r="Q348" s="307" t="s">
        <v>106</v>
      </c>
      <c r="R348" s="310"/>
      <c r="S348" s="429"/>
      <c r="T348" s="307" t="s">
        <v>106</v>
      </c>
      <c r="U348" s="310"/>
      <c r="V348" s="429"/>
      <c r="W348" s="307" t="s">
        <v>106</v>
      </c>
      <c r="X348" s="310"/>
      <c r="Y348" s="429"/>
      <c r="Z348" s="307" t="s">
        <v>106</v>
      </c>
      <c r="AA348" s="310"/>
      <c r="AB348" s="429"/>
      <c r="AC348" s="307" t="s">
        <v>106</v>
      </c>
      <c r="AD348" s="310"/>
      <c r="AE348" s="429"/>
      <c r="AF348" s="307" t="s">
        <v>106</v>
      </c>
      <c r="AG348" s="310"/>
      <c r="AH348" s="429"/>
      <c r="AI348" s="73"/>
      <c r="AJ348" s="316"/>
      <c r="AK348" s="430"/>
      <c r="AL348" s="73"/>
      <c r="AM348" s="316"/>
      <c r="AN348" s="430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</row>
    <row r="349" spans="1:52" ht="18.75" hidden="1" thickBot="1">
      <c r="A349" s="61"/>
      <c r="B349" s="245"/>
      <c r="C349" s="307"/>
      <c r="D349" s="428"/>
      <c r="E349" s="243" t="s">
        <v>107</v>
      </c>
      <c r="F349" s="322">
        <f>(E313+E314+E315+E316+E317+E318+E319+E321+E322)*0.5</f>
        <v>133837.84681727772</v>
      </c>
      <c r="G349" s="429"/>
      <c r="H349" s="243" t="s">
        <v>107</v>
      </c>
      <c r="I349" s="322">
        <f>(H313+H314+H315+H316+H317+H318+H319+H321+H322)*0.5</f>
        <v>130254.20417355328</v>
      </c>
      <c r="J349" s="429"/>
      <c r="K349" s="243" t="s">
        <v>107</v>
      </c>
      <c r="L349" s="322">
        <f>(K313+K314+K315+K316+K317+K318+K319+K321+K322)*0.5</f>
        <v>130254.20417355328</v>
      </c>
      <c r="M349" s="429"/>
      <c r="N349" s="243" t="s">
        <v>107</v>
      </c>
      <c r="O349" s="322">
        <f>(N313+N314+N315+N316+N317+N318+N319+N321+N322)*0.5</f>
        <v>118196.75038006717</v>
      </c>
      <c r="P349" s="429"/>
      <c r="Q349" s="243" t="s">
        <v>107</v>
      </c>
      <c r="R349" s="322">
        <f>(Q313+Q314+Q315+Q316+Q317+Q318+Q319+Q321+Q322)*0.5</f>
        <v>113507.64663222802</v>
      </c>
      <c r="S349" s="429"/>
      <c r="T349" s="243" t="s">
        <v>107</v>
      </c>
      <c r="U349" s="322">
        <f>(T313+T314+T315+T316+T317+T318+T319+T321+T322)*0.5</f>
        <v>100110.39772025229</v>
      </c>
      <c r="V349" s="429"/>
      <c r="W349" s="243" t="s">
        <v>107</v>
      </c>
      <c r="X349" s="322">
        <f>(W313+W314+W315+W316+W317+W318+W319+W321+W322)*0.5</f>
        <v>93304.6323081562</v>
      </c>
      <c r="Y349" s="429"/>
      <c r="Z349" s="243" t="s">
        <v>107</v>
      </c>
      <c r="AA349" s="322">
        <f>(Z313+Z314+Z315+Z316+Z317+Z318+Z319+Z321+Z322)*0.5</f>
        <v>86606.044304124574</v>
      </c>
      <c r="AB349" s="429"/>
      <c r="AC349" s="243" t="s">
        <v>107</v>
      </c>
      <c r="AD349" s="322">
        <f>(AC313+AC314+AC315+AC316+AC317+AC318+AC319+AC321+AC322)*0.5</f>
        <v>81193.585196867032</v>
      </c>
      <c r="AE349" s="429"/>
      <c r="AF349" s="243" t="s">
        <v>107</v>
      </c>
      <c r="AG349" s="322">
        <f>(AF313+AF314+AF315+AF316+AF317+AF318+AF319+AF321+AF322)*0.5</f>
        <v>66985.880040316028</v>
      </c>
      <c r="AH349" s="429"/>
      <c r="AI349" s="73"/>
      <c r="AJ349" s="316"/>
      <c r="AK349" s="430"/>
      <c r="AL349" s="73"/>
      <c r="AM349" s="316"/>
      <c r="AN349" s="430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</row>
    <row r="350" spans="1:52" ht="18.75" hidden="1" thickBot="1">
      <c r="A350" s="61"/>
      <c r="B350" s="245"/>
      <c r="C350" s="307"/>
      <c r="D350" s="428"/>
      <c r="E350" s="243" t="s">
        <v>108</v>
      </c>
      <c r="F350" s="323"/>
      <c r="G350" s="429"/>
      <c r="H350" s="243" t="s">
        <v>108</v>
      </c>
      <c r="I350" s="323"/>
      <c r="J350" s="429"/>
      <c r="K350" s="243" t="s">
        <v>108</v>
      </c>
      <c r="L350" s="323"/>
      <c r="M350" s="429"/>
      <c r="N350" s="243" t="s">
        <v>108</v>
      </c>
      <c r="O350" s="323"/>
      <c r="P350" s="429"/>
      <c r="Q350" s="243" t="s">
        <v>108</v>
      </c>
      <c r="R350" s="323"/>
      <c r="S350" s="429"/>
      <c r="T350" s="243" t="s">
        <v>108</v>
      </c>
      <c r="U350" s="323"/>
      <c r="V350" s="429"/>
      <c r="W350" s="243" t="s">
        <v>108</v>
      </c>
      <c r="X350" s="323"/>
      <c r="Y350" s="429"/>
      <c r="Z350" s="243" t="s">
        <v>108</v>
      </c>
      <c r="AA350" s="323"/>
      <c r="AB350" s="429"/>
      <c r="AC350" s="243" t="s">
        <v>108</v>
      </c>
      <c r="AD350" s="323"/>
      <c r="AE350" s="429"/>
      <c r="AF350" s="243" t="s">
        <v>108</v>
      </c>
      <c r="AG350" s="323"/>
      <c r="AH350" s="429"/>
      <c r="AI350" s="73"/>
      <c r="AJ350" s="316"/>
      <c r="AK350" s="430"/>
      <c r="AL350" s="73"/>
      <c r="AM350" s="316"/>
      <c r="AN350" s="430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</row>
    <row r="351" spans="1:52" ht="18.75" hidden="1" thickBot="1">
      <c r="A351" s="61"/>
      <c r="B351" s="245"/>
      <c r="C351" s="307"/>
      <c r="D351" s="428"/>
      <c r="E351" s="246" t="s">
        <v>109</v>
      </c>
      <c r="F351" s="246">
        <f>F349*0.804</f>
        <v>107605.6288410913</v>
      </c>
      <c r="G351" s="429"/>
      <c r="H351" s="246" t="s">
        <v>109</v>
      </c>
      <c r="I351" s="246">
        <f>I349*0.804</f>
        <v>104724.38015553684</v>
      </c>
      <c r="J351" s="429"/>
      <c r="K351" s="246" t="s">
        <v>109</v>
      </c>
      <c r="L351" s="246">
        <f>L349*0.804</f>
        <v>104724.38015553684</v>
      </c>
      <c r="M351" s="429"/>
      <c r="N351" s="246" t="s">
        <v>109</v>
      </c>
      <c r="O351" s="246">
        <f>O349*0.804</f>
        <v>95030.187305574014</v>
      </c>
      <c r="P351" s="429"/>
      <c r="Q351" s="246" t="s">
        <v>109</v>
      </c>
      <c r="R351" s="246">
        <f>R349*0.804</f>
        <v>91260.147892311332</v>
      </c>
      <c r="S351" s="429"/>
      <c r="T351" s="246" t="s">
        <v>109</v>
      </c>
      <c r="U351" s="246">
        <f>U349*0.804</f>
        <v>80488.759767082855</v>
      </c>
      <c r="V351" s="429"/>
      <c r="W351" s="246" t="s">
        <v>109</v>
      </c>
      <c r="X351" s="246">
        <f>X349*0.804</f>
        <v>75016.92437575759</v>
      </c>
      <c r="Y351" s="429"/>
      <c r="Z351" s="246" t="s">
        <v>109</v>
      </c>
      <c r="AA351" s="246">
        <f>AA349*0.804</f>
        <v>69631.259620516168</v>
      </c>
      <c r="AB351" s="429"/>
      <c r="AC351" s="246" t="s">
        <v>109</v>
      </c>
      <c r="AD351" s="246">
        <f>AD349*0.804</f>
        <v>65279.6424982811</v>
      </c>
      <c r="AE351" s="429"/>
      <c r="AF351" s="246" t="s">
        <v>109</v>
      </c>
      <c r="AG351" s="246">
        <f>AG349*0.804</f>
        <v>53856.647552414091</v>
      </c>
      <c r="AH351" s="429"/>
      <c r="AI351" s="73"/>
      <c r="AJ351" s="316"/>
      <c r="AK351" s="430"/>
      <c r="AL351" s="73"/>
      <c r="AM351" s="316"/>
      <c r="AN351" s="430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</row>
    <row r="352" spans="1:52" ht="18.75" hidden="1" thickBot="1">
      <c r="A352" s="61"/>
      <c r="B352" s="245"/>
      <c r="C352" s="307"/>
      <c r="D352" s="428"/>
      <c r="E352" s="243" t="s">
        <v>110</v>
      </c>
      <c r="F352" s="243"/>
      <c r="G352" s="429"/>
      <c r="H352" s="243" t="s">
        <v>110</v>
      </c>
      <c r="I352" s="243"/>
      <c r="J352" s="429"/>
      <c r="K352" s="243" t="s">
        <v>110</v>
      </c>
      <c r="L352" s="243"/>
      <c r="M352" s="429"/>
      <c r="N352" s="243" t="s">
        <v>110</v>
      </c>
      <c r="O352" s="243"/>
      <c r="P352" s="429"/>
      <c r="Q352" s="243" t="s">
        <v>110</v>
      </c>
      <c r="R352" s="243"/>
      <c r="S352" s="429"/>
      <c r="T352" s="243" t="s">
        <v>110</v>
      </c>
      <c r="U352" s="243"/>
      <c r="V352" s="429"/>
      <c r="W352" s="243" t="s">
        <v>110</v>
      </c>
      <c r="X352" s="243"/>
      <c r="Y352" s="429"/>
      <c r="Z352" s="243" t="s">
        <v>110</v>
      </c>
      <c r="AA352" s="243"/>
      <c r="AB352" s="429"/>
      <c r="AC352" s="243" t="s">
        <v>110</v>
      </c>
      <c r="AD352" s="243"/>
      <c r="AE352" s="429"/>
      <c r="AF352" s="243" t="s">
        <v>110</v>
      </c>
      <c r="AG352" s="243"/>
      <c r="AH352" s="429"/>
      <c r="AI352" s="73"/>
      <c r="AJ352" s="316"/>
      <c r="AK352" s="430"/>
      <c r="AL352" s="73"/>
      <c r="AM352" s="316"/>
      <c r="AN352" s="430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</row>
    <row r="353" spans="1:52" ht="18.75" hidden="1" thickBot="1">
      <c r="A353" s="61"/>
      <c r="B353" s="245"/>
      <c r="C353" s="307"/>
      <c r="D353" s="428"/>
      <c r="E353" s="325">
        <v>502</v>
      </c>
      <c r="F353" s="326">
        <f>-(E313+E314+E318+E319+E315+E316+E317+F330+E321+E322+F349)*0.16</f>
        <v>-64242.166472293306</v>
      </c>
      <c r="G353" s="429"/>
      <c r="H353" s="325">
        <v>502</v>
      </c>
      <c r="I353" s="326">
        <f>-(H313+H314+H318+H319+H315+H316+H317+I330+H321+H322+I349)*0.16</f>
        <v>-62522.01800330558</v>
      </c>
      <c r="J353" s="429"/>
      <c r="K353" s="325">
        <v>502</v>
      </c>
      <c r="L353" s="326">
        <f>-(K313+K314+K318+K319+K315+K316+K317+L330+K321+K322+L349)*0.16</f>
        <v>-62522.01800330558</v>
      </c>
      <c r="M353" s="429"/>
      <c r="N353" s="325">
        <v>502</v>
      </c>
      <c r="O353" s="326">
        <f>-(N313+N314+N318+N319+N315+N316+N317+O330+N321+N322+O349)*0.16</f>
        <v>-56734.440182432241</v>
      </c>
      <c r="P353" s="429"/>
      <c r="Q353" s="325">
        <v>502</v>
      </c>
      <c r="R353" s="326">
        <f>-(Q313+Q314+Q318+Q319+Q315+Q316+Q317+R330+Q321+Q322+R349)*0.16</f>
        <v>-54483.670383469442</v>
      </c>
      <c r="S353" s="429"/>
      <c r="T353" s="325">
        <v>502</v>
      </c>
      <c r="U353" s="326">
        <f>-(T313+T314+T318+T319+T315+T316+T317+U330+T321+T322+U349)*0.16</f>
        <v>-48052.990905721104</v>
      </c>
      <c r="V353" s="429"/>
      <c r="W353" s="325">
        <v>502</v>
      </c>
      <c r="X353" s="326">
        <f>-(W313+W314+W318+W319+W315+W316+W317+X330+W321+W322+X349)*0.16</f>
        <v>-44786.223507914976</v>
      </c>
      <c r="Y353" s="429"/>
      <c r="Z353" s="325">
        <v>502</v>
      </c>
      <c r="AA353" s="326">
        <f>-(Z313+Z314+Z318+Z319+Z315+Z316+Z317+AA330+Z321+Z322+AA349)*0.16</f>
        <v>-41570.901265979795</v>
      </c>
      <c r="AB353" s="429"/>
      <c r="AC353" s="325">
        <v>502</v>
      </c>
      <c r="AD353" s="326">
        <f>-(AC313+AC314+AC318+AC319+AC315+AC316+AC317+AD330+AC321+AC322+AD349)*0.16</f>
        <v>-38972.920894496179</v>
      </c>
      <c r="AE353" s="429"/>
      <c r="AF353" s="325">
        <v>502</v>
      </c>
      <c r="AG353" s="326">
        <f>-(AF313+AF314+AF318+AF319+AF315+AF316+AF317+AG330+AF321+AF322+AG349)*0.16</f>
        <v>-32153.222419351692</v>
      </c>
      <c r="AH353" s="429"/>
      <c r="AI353" s="73"/>
      <c r="AJ353" s="316"/>
      <c r="AK353" s="430"/>
      <c r="AL353" s="73"/>
      <c r="AM353" s="316"/>
      <c r="AN353" s="430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</row>
    <row r="354" spans="1:52" ht="18.75" hidden="1" thickBot="1">
      <c r="A354" s="61"/>
      <c r="B354" s="245"/>
      <c r="C354" s="307"/>
      <c r="D354" s="428"/>
      <c r="E354" s="325">
        <v>504</v>
      </c>
      <c r="F354" s="326"/>
      <c r="G354" s="429"/>
      <c r="H354" s="325">
        <v>504</v>
      </c>
      <c r="I354" s="326"/>
      <c r="J354" s="429"/>
      <c r="K354" s="325">
        <v>504</v>
      </c>
      <c r="L354" s="326"/>
      <c r="M354" s="429"/>
      <c r="N354" s="325">
        <v>504</v>
      </c>
      <c r="O354" s="326"/>
      <c r="P354" s="429"/>
      <c r="Q354" s="325">
        <v>504</v>
      </c>
      <c r="R354" s="326"/>
      <c r="S354" s="429"/>
      <c r="T354" s="325">
        <v>504</v>
      </c>
      <c r="U354" s="326"/>
      <c r="V354" s="429"/>
      <c r="W354" s="325">
        <v>504</v>
      </c>
      <c r="X354" s="326"/>
      <c r="Y354" s="429"/>
      <c r="Z354" s="325">
        <v>504</v>
      </c>
      <c r="AA354" s="326"/>
      <c r="AB354" s="429"/>
      <c r="AC354" s="325">
        <v>504</v>
      </c>
      <c r="AD354" s="326"/>
      <c r="AE354" s="429"/>
      <c r="AF354" s="325">
        <v>504</v>
      </c>
      <c r="AG354" s="326"/>
      <c r="AH354" s="429"/>
      <c r="AI354" s="73"/>
      <c r="AJ354" s="316"/>
      <c r="AK354" s="430"/>
      <c r="AL354" s="73"/>
      <c r="AM354" s="316"/>
      <c r="AN354" s="430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</row>
    <row r="355" spans="1:52" ht="16.5" hidden="1" thickBot="1">
      <c r="A355" s="61"/>
      <c r="B355" s="245"/>
      <c r="C355" s="307"/>
      <c r="D355" s="428"/>
      <c r="E355" s="325">
        <v>505</v>
      </c>
      <c r="F355" s="326">
        <f>-(E313+E314+E318+E319+E315+E316+E317+F330+E321+E322+F349)*0.03</f>
        <v>-12045.406213554994</v>
      </c>
      <c r="G355" s="429"/>
      <c r="H355" s="325">
        <v>505</v>
      </c>
      <c r="I355" s="326">
        <f>-(H313+H314+H318+H319+H315+H316+H317+I330+H321+H322+I349)*0.03</f>
        <v>-11722.878375619795</v>
      </c>
      <c r="J355" s="429"/>
      <c r="K355" s="325">
        <v>505</v>
      </c>
      <c r="L355" s="326">
        <f>-(K313+K314+K318+K319+K315+K316+K317+L330+K321+K322+L349)*0.03</f>
        <v>-11722.878375619795</v>
      </c>
      <c r="M355" s="429"/>
      <c r="N355" s="325">
        <v>505</v>
      </c>
      <c r="O355" s="326">
        <f>-(N313+N314+N318+N319+N315+N316+N317+O330+N321+N322+O349)*0.03</f>
        <v>-10637.707534206045</v>
      </c>
      <c r="P355" s="429"/>
      <c r="Q355" s="325">
        <v>505</v>
      </c>
      <c r="R355" s="326">
        <f>-(Q313+Q314+Q318+Q319+Q315+Q316+Q317+R330+Q321+Q322+R349)*0.03</f>
        <v>-10215.688196900521</v>
      </c>
      <c r="S355" s="429"/>
      <c r="T355" s="325">
        <v>505</v>
      </c>
      <c r="U355" s="326">
        <f>-(T313+T314+T318+T319+T315+T316+T317+U330+T321+T322+U349)*0.03</f>
        <v>-9009.9357948227062</v>
      </c>
      <c r="V355" s="429"/>
      <c r="W355" s="325">
        <v>505</v>
      </c>
      <c r="X355" s="326">
        <f>-(W313+W314+W318+W319+W315+W316+W317+X330+W321+W322+X349)*0.03</f>
        <v>-8397.4169077340575</v>
      </c>
      <c r="Y355" s="429"/>
      <c r="Z355" s="325">
        <v>505</v>
      </c>
      <c r="AA355" s="326">
        <f>-(Z313+Z314+Z318+Z319+Z315+Z316+Z317+AA330+Z321+Z322+AA349)*0.03</f>
        <v>-7794.5439873712112</v>
      </c>
      <c r="AB355" s="429"/>
      <c r="AC355" s="325">
        <v>505</v>
      </c>
      <c r="AD355" s="326">
        <f>-(AC313+AC314+AC318+AC319+AC315+AC316+AC317+AD330+AC321+AC322+AD349)*0.03</f>
        <v>-7307.4226677180322</v>
      </c>
      <c r="AE355" s="429"/>
      <c r="AF355" s="325">
        <v>505</v>
      </c>
      <c r="AG355" s="326">
        <f>-(AF313+AF314+AF318+AF319+AF315+AF316+AF317+AG330+AF321+AF322+AG349)*0.03</f>
        <v>-6028.7292036284425</v>
      </c>
      <c r="AH355" s="429"/>
      <c r="AI355" s="61"/>
    </row>
    <row r="356" spans="1:52" ht="18.75" hidden="1" thickBot="1">
      <c r="A356" s="61"/>
      <c r="B356" s="245"/>
      <c r="C356" s="307"/>
      <c r="D356" s="428"/>
      <c r="E356" s="310"/>
      <c r="F356" s="327"/>
      <c r="G356" s="429"/>
      <c r="H356" s="310"/>
      <c r="I356" s="327"/>
      <c r="J356" s="429"/>
      <c r="K356" s="310"/>
      <c r="L356" s="327"/>
      <c r="M356" s="429"/>
      <c r="N356" s="310"/>
      <c r="O356" s="327"/>
      <c r="P356" s="429"/>
      <c r="Q356" s="310"/>
      <c r="R356" s="327"/>
      <c r="S356" s="429"/>
      <c r="T356" s="310"/>
      <c r="U356" s="327"/>
      <c r="V356" s="429"/>
      <c r="W356" s="310"/>
      <c r="X356" s="327"/>
      <c r="Y356" s="429"/>
      <c r="Z356" s="310"/>
      <c r="AA356" s="327"/>
      <c r="AB356" s="429"/>
      <c r="AC356" s="310"/>
      <c r="AD356" s="327"/>
      <c r="AE356" s="429"/>
      <c r="AF356" s="310"/>
      <c r="AG356" s="327"/>
      <c r="AH356" s="429"/>
      <c r="AI356" s="73"/>
      <c r="AJ356" s="316"/>
      <c r="AK356" s="430"/>
      <c r="AL356" s="73"/>
      <c r="AM356" s="316"/>
      <c r="AN356" s="430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</row>
    <row r="357" spans="1:52" ht="18.75" hidden="1" thickBot="1">
      <c r="A357" s="61"/>
      <c r="B357" s="245"/>
      <c r="C357" s="307"/>
      <c r="D357" s="428"/>
      <c r="E357" s="328" t="s">
        <v>111</v>
      </c>
      <c r="F357" s="328"/>
      <c r="G357" s="429"/>
      <c r="H357" s="328" t="s">
        <v>111</v>
      </c>
      <c r="I357" s="328"/>
      <c r="J357" s="429"/>
      <c r="K357" s="328" t="s">
        <v>111</v>
      </c>
      <c r="L357" s="328"/>
      <c r="M357" s="429"/>
      <c r="N357" s="328" t="s">
        <v>111</v>
      </c>
      <c r="O357" s="328"/>
      <c r="P357" s="429"/>
      <c r="Q357" s="328" t="s">
        <v>111</v>
      </c>
      <c r="R357" s="328"/>
      <c r="S357" s="429"/>
      <c r="T357" s="328" t="s">
        <v>111</v>
      </c>
      <c r="U357" s="328"/>
      <c r="V357" s="429"/>
      <c r="W357" s="328" t="s">
        <v>111</v>
      </c>
      <c r="X357" s="328"/>
      <c r="Y357" s="429"/>
      <c r="Z357" s="328" t="s">
        <v>111</v>
      </c>
      <c r="AA357" s="328"/>
      <c r="AB357" s="429"/>
      <c r="AC357" s="328" t="s">
        <v>111</v>
      </c>
      <c r="AD357" s="328"/>
      <c r="AE357" s="429"/>
      <c r="AF357" s="328" t="s">
        <v>111</v>
      </c>
      <c r="AG357" s="328"/>
      <c r="AH357" s="429"/>
      <c r="AI357" s="73"/>
      <c r="AJ357" s="316"/>
      <c r="AK357" s="430"/>
      <c r="AL357" s="73"/>
      <c r="AM357" s="316"/>
      <c r="AN357" s="430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</row>
    <row r="358" spans="1:52" ht="18.75" hidden="1" thickBot="1">
      <c r="A358" s="61"/>
      <c r="B358" s="245"/>
      <c r="C358" s="307"/>
      <c r="D358" s="428"/>
      <c r="E358" s="328"/>
      <c r="F358" s="330">
        <f>E329+F349+F350+F353+F354+F355</f>
        <v>349425.96776598482</v>
      </c>
      <c r="G358" s="429"/>
      <c r="H358" s="328"/>
      <c r="I358" s="330">
        <f>H329+I349+I350+I353+I354+I355</f>
        <v>338517.71614173439</v>
      </c>
      <c r="J358" s="429"/>
      <c r="K358" s="328"/>
      <c r="L358" s="330">
        <f>K329+L349+L350+L353+L354+L355</f>
        <v>332285.71614173439</v>
      </c>
      <c r="M358" s="429"/>
      <c r="N358" s="328"/>
      <c r="O358" s="330">
        <f>N329+O349+O350+O353+O354+O355</f>
        <v>302986.10342356324</v>
      </c>
      <c r="P358" s="429"/>
      <c r="Q358" s="328"/>
      <c r="R358" s="330">
        <f>Q329+R349+R350+R353+R354+R355</f>
        <v>291591.58131631406</v>
      </c>
      <c r="S358" s="429"/>
      <c r="T358" s="328"/>
      <c r="U358" s="330">
        <f>T329+U349+U350+U353+U354+U355</f>
        <v>258050.26646021311</v>
      </c>
      <c r="V358" s="429"/>
      <c r="W358" s="328"/>
      <c r="X358" s="330">
        <f>W329+X349+X350+X353+X354+X355</f>
        <v>241512.25650881953</v>
      </c>
      <c r="Y358" s="429"/>
      <c r="Z358" s="328"/>
      <c r="AA358" s="330">
        <f>Z329+AA349+AA350+AA353+AA354+AA355</f>
        <v>222766.68765902275</v>
      </c>
      <c r="AB358" s="429"/>
      <c r="AC358" s="328"/>
      <c r="AD358" s="330">
        <f>AC329+AD349+AD350+AD353+AD354+AD355</f>
        <v>209614.4120283869</v>
      </c>
      <c r="AE358" s="429"/>
      <c r="AF358" s="328"/>
      <c r="AG358" s="330">
        <f>AF329+AG349+AG350+AG353+AG354+AG355</f>
        <v>172935.68849796796</v>
      </c>
      <c r="AH358" s="429"/>
      <c r="AI358" s="73"/>
      <c r="AJ358" s="316"/>
      <c r="AK358" s="430"/>
      <c r="AL358" s="73"/>
      <c r="AM358" s="316"/>
      <c r="AN358" s="430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</row>
    <row r="359" spans="1:52" ht="18.75" hidden="1" thickBot="1">
      <c r="A359" s="61"/>
      <c r="B359" s="245"/>
      <c r="C359" s="307"/>
      <c r="D359" s="428"/>
      <c r="E359" s="331" t="s">
        <v>112</v>
      </c>
      <c r="F359" s="331"/>
      <c r="G359" s="429"/>
      <c r="H359" s="331" t="s">
        <v>112</v>
      </c>
      <c r="I359" s="331"/>
      <c r="J359" s="429"/>
      <c r="K359" s="331" t="s">
        <v>112</v>
      </c>
      <c r="L359" s="331"/>
      <c r="M359" s="429"/>
      <c r="N359" s="331" t="s">
        <v>112</v>
      </c>
      <c r="O359" s="331"/>
      <c r="P359" s="429"/>
      <c r="Q359" s="331" t="s">
        <v>112</v>
      </c>
      <c r="R359" s="331"/>
      <c r="S359" s="429"/>
      <c r="T359" s="331" t="s">
        <v>112</v>
      </c>
      <c r="U359" s="331"/>
      <c r="V359" s="429"/>
      <c r="W359" s="331" t="s">
        <v>112</v>
      </c>
      <c r="X359" s="331"/>
      <c r="Y359" s="429"/>
      <c r="Z359" s="331" t="s">
        <v>112</v>
      </c>
      <c r="AA359" s="331"/>
      <c r="AB359" s="429"/>
      <c r="AC359" s="331" t="s">
        <v>112</v>
      </c>
      <c r="AD359" s="331"/>
      <c r="AE359" s="429"/>
      <c r="AF359" s="331" t="s">
        <v>112</v>
      </c>
      <c r="AG359" s="331"/>
      <c r="AH359" s="429"/>
      <c r="AI359" s="73"/>
      <c r="AJ359" s="316"/>
      <c r="AK359" s="430"/>
      <c r="AL359" s="73"/>
      <c r="AM359" s="316"/>
      <c r="AN359" s="430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</row>
    <row r="360" spans="1:52" ht="21" hidden="1" thickBot="1">
      <c r="A360" s="61"/>
      <c r="B360" s="245"/>
      <c r="C360" s="307"/>
      <c r="D360" s="428"/>
      <c r="E360" s="246"/>
      <c r="F360" s="432">
        <f>F358-F337+F333</f>
        <v>108408.65592199491</v>
      </c>
      <c r="G360" s="429"/>
      <c r="H360" s="246"/>
      <c r="I360" s="432">
        <f>I358-I337+I333</f>
        <v>105505.9053805781</v>
      </c>
      <c r="J360" s="429"/>
      <c r="K360" s="246"/>
      <c r="L360" s="432">
        <f>L358-L337+L333</f>
        <v>105505.9053805781</v>
      </c>
      <c r="M360" s="429"/>
      <c r="N360" s="246"/>
      <c r="O360" s="432">
        <f>O358-O337+O333</f>
        <v>95739.367807854433</v>
      </c>
      <c r="P360" s="429"/>
      <c r="Q360" s="246"/>
      <c r="R360" s="432">
        <f>R358-R337+R333</f>
        <v>91941.193772104656</v>
      </c>
      <c r="S360" s="429"/>
      <c r="T360" s="246"/>
      <c r="U360" s="432">
        <f>U358-U337+U333</f>
        <v>81089.42215340439</v>
      </c>
      <c r="V360" s="429"/>
      <c r="W360" s="246"/>
      <c r="X360" s="432">
        <f>X358-X337+X333</f>
        <v>75576.75216960648</v>
      </c>
      <c r="Y360" s="429"/>
      <c r="Z360" s="246"/>
      <c r="AA360" s="432">
        <f>AA358-AA337+AA333</f>
        <v>70150.895886340935</v>
      </c>
      <c r="AB360" s="429"/>
      <c r="AC360" s="246"/>
      <c r="AD360" s="432">
        <f>AD358-AD337+AD333</f>
        <v>65766.804009462299</v>
      </c>
      <c r="AE360" s="429"/>
      <c r="AF360" s="246"/>
      <c r="AG360" s="432">
        <f>AG358-AG337+AG333</f>
        <v>54258.562832655996</v>
      </c>
      <c r="AH360" s="429"/>
      <c r="AI360" s="73"/>
      <c r="AJ360" s="316"/>
      <c r="AK360" s="430"/>
      <c r="AL360" s="73"/>
      <c r="AM360" s="316"/>
      <c r="AN360" s="430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</row>
    <row r="361" spans="1:52" ht="18" hidden="1">
      <c r="A361" s="61"/>
      <c r="B361" s="133"/>
      <c r="C361" s="69"/>
      <c r="D361" s="395"/>
      <c r="E361" s="395"/>
      <c r="F361" s="395"/>
      <c r="G361" s="395"/>
      <c r="H361" s="395"/>
      <c r="I361" s="395"/>
      <c r="J361" s="395"/>
      <c r="K361" s="395"/>
      <c r="L361" s="395"/>
      <c r="M361" s="396"/>
      <c r="N361" s="395"/>
      <c r="O361" s="395"/>
      <c r="P361" s="396"/>
      <c r="Q361" s="395"/>
      <c r="R361" s="395"/>
      <c r="S361" s="396"/>
      <c r="T361" s="395"/>
      <c r="U361" s="395"/>
      <c r="V361" s="396"/>
      <c r="W361" s="395"/>
      <c r="X361" s="395"/>
      <c r="Y361" s="396"/>
      <c r="Z361" s="395"/>
      <c r="AA361" s="395"/>
      <c r="AB361" s="396"/>
      <c r="AC361" s="395"/>
      <c r="AD361" s="395"/>
      <c r="AE361" s="396"/>
      <c r="AF361" s="395"/>
      <c r="AG361" s="395"/>
      <c r="AH361" s="396"/>
      <c r="AI361" s="316"/>
      <c r="AJ361" s="430"/>
      <c r="AK361" s="313"/>
      <c r="AL361" s="316"/>
      <c r="AM361" s="430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</row>
    <row r="362" spans="1:52" s="68" customFormat="1" ht="18" hidden="1">
      <c r="A362" s="61"/>
      <c r="B362" s="133"/>
      <c r="C362" s="69"/>
      <c r="D362" s="395"/>
      <c r="E362" s="395"/>
      <c r="F362" s="395"/>
      <c r="G362" s="395"/>
      <c r="H362" s="395"/>
      <c r="I362" s="395"/>
      <c r="J362" s="395"/>
      <c r="K362" s="395"/>
      <c r="L362" s="395"/>
      <c r="M362" s="396"/>
      <c r="N362" s="395"/>
      <c r="O362" s="395"/>
      <c r="P362" s="396"/>
      <c r="Q362" s="395"/>
      <c r="R362" s="395"/>
      <c r="S362" s="396"/>
      <c r="T362" s="395"/>
      <c r="U362" s="395"/>
      <c r="V362" s="396"/>
      <c r="W362" s="395"/>
      <c r="X362" s="395"/>
      <c r="Y362" s="396"/>
      <c r="Z362" s="395"/>
      <c r="AA362" s="395"/>
      <c r="AB362" s="396"/>
      <c r="AC362" s="395"/>
      <c r="AD362" s="395"/>
      <c r="AE362" s="396"/>
      <c r="AF362" s="395"/>
      <c r="AG362" s="395"/>
      <c r="AH362" s="396"/>
      <c r="AI362" s="316"/>
      <c r="AJ362" s="430"/>
      <c r="AK362" s="313"/>
      <c r="AL362" s="316"/>
      <c r="AM362" s="430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</row>
    <row r="363" spans="1:52" s="437" customFormat="1" ht="18">
      <c r="A363" s="433"/>
      <c r="B363" s="433"/>
      <c r="C363" s="433"/>
      <c r="D363" s="433"/>
      <c r="E363" s="433"/>
      <c r="F363" s="433"/>
      <c r="G363" s="433"/>
      <c r="H363" s="433"/>
      <c r="I363" s="433"/>
      <c r="J363" s="433"/>
      <c r="K363" s="40">
        <v>44866</v>
      </c>
      <c r="L363" s="187" t="s">
        <v>519</v>
      </c>
      <c r="M363" s="193"/>
      <c r="N363" s="40">
        <v>44835</v>
      </c>
      <c r="O363" s="187" t="s">
        <v>520</v>
      </c>
      <c r="P363" s="193"/>
      <c r="Q363" s="40">
        <v>44805</v>
      </c>
      <c r="R363" s="187" t="s">
        <v>516</v>
      </c>
      <c r="S363" s="193"/>
      <c r="T363" s="40">
        <v>44774</v>
      </c>
      <c r="U363" s="689" t="s">
        <v>510</v>
      </c>
      <c r="V363" s="193"/>
      <c r="W363" s="40">
        <v>44743</v>
      </c>
      <c r="X363" s="187" t="s">
        <v>495</v>
      </c>
      <c r="Y363" s="193"/>
      <c r="Z363" s="40">
        <v>44682</v>
      </c>
      <c r="AA363" s="187" t="s">
        <v>494</v>
      </c>
      <c r="AB363" s="193"/>
      <c r="AC363" s="40">
        <v>44621</v>
      </c>
      <c r="AD363" s="187" t="s">
        <v>493</v>
      </c>
      <c r="AE363" s="196"/>
      <c r="AF363" s="40">
        <v>44562</v>
      </c>
      <c r="AG363" s="588">
        <v>8.8999999999999996E-2</v>
      </c>
      <c r="AH363" s="434"/>
      <c r="AI363" s="435"/>
      <c r="AJ363" s="435"/>
      <c r="AK363" s="433"/>
      <c r="AL363" s="436"/>
      <c r="AM363" s="433"/>
      <c r="AN363" s="433"/>
      <c r="AO363" s="433"/>
      <c r="AP363" s="433"/>
      <c r="AQ363" s="433"/>
      <c r="AR363" s="433"/>
      <c r="AS363" s="433"/>
      <c r="AT363" s="433"/>
      <c r="AU363" s="433"/>
      <c r="AV363" s="433"/>
      <c r="AW363" s="433"/>
      <c r="AX363" s="433"/>
      <c r="AY363" s="433"/>
      <c r="AZ363" s="433"/>
    </row>
    <row r="364" spans="1:52" s="544" customFormat="1" ht="18.75" thickBot="1">
      <c r="A364" s="607"/>
      <c r="B364" s="607"/>
      <c r="C364" s="607"/>
      <c r="D364" s="607"/>
      <c r="E364" s="607"/>
      <c r="F364" s="607"/>
      <c r="G364" s="607"/>
      <c r="H364" s="607"/>
      <c r="I364" s="607"/>
      <c r="J364" s="607"/>
      <c r="K364" s="737"/>
      <c r="L364" s="738"/>
      <c r="M364" s="739"/>
      <c r="N364" s="737"/>
      <c r="O364" s="738"/>
      <c r="P364" s="739"/>
      <c r="Q364" s="737"/>
      <c r="R364" s="738"/>
      <c r="S364" s="739"/>
      <c r="T364" s="737"/>
      <c r="U364" s="738"/>
      <c r="V364" s="739"/>
      <c r="W364" s="737"/>
      <c r="X364" s="738"/>
      <c r="Y364" s="739"/>
      <c r="Z364" s="737"/>
      <c r="AA364" s="738"/>
      <c r="AB364" s="739"/>
      <c r="AC364" s="737"/>
      <c r="AD364" s="738"/>
      <c r="AE364" s="740"/>
      <c r="AF364" s="737"/>
      <c r="AG364" s="741"/>
      <c r="AH364" s="434"/>
      <c r="AI364" s="435"/>
      <c r="AJ364" s="435"/>
      <c r="AK364" s="433"/>
      <c r="AL364" s="436"/>
      <c r="AM364" s="433"/>
      <c r="AN364" s="433"/>
      <c r="AO364" s="433"/>
      <c r="AP364" s="433"/>
      <c r="AQ364" s="433"/>
      <c r="AR364" s="433"/>
      <c r="AS364" s="433"/>
      <c r="AT364" s="433"/>
      <c r="AU364" s="433"/>
      <c r="AV364" s="433"/>
      <c r="AW364" s="433"/>
      <c r="AX364" s="433"/>
      <c r="AY364" s="433"/>
      <c r="AZ364" s="433"/>
    </row>
    <row r="365" spans="1:52" ht="12.75">
      <c r="A365" s="163"/>
      <c r="B365" s="163"/>
      <c r="C365" s="606"/>
      <c r="D365" s="606"/>
      <c r="E365" s="606"/>
      <c r="F365" s="835"/>
      <c r="G365" s="717"/>
      <c r="H365" s="720"/>
      <c r="I365" s="831">
        <f>canthorsup</f>
        <v>36</v>
      </c>
      <c r="J365" s="768" t="s">
        <v>515</v>
      </c>
      <c r="K365" s="768"/>
      <c r="L365" s="769">
        <f>porantighorsup</f>
        <v>1.2</v>
      </c>
      <c r="M365" s="768"/>
      <c r="N365" s="770"/>
      <c r="O365" s="771"/>
      <c r="P365" s="772"/>
      <c r="X365" s="621"/>
      <c r="Y365" s="657"/>
      <c r="Z365" s="692"/>
      <c r="AA365" s="621"/>
      <c r="AB365" s="657"/>
      <c r="AC365" s="621"/>
      <c r="AD365" s="606"/>
      <c r="AE365" s="214"/>
      <c r="AF365" s="606"/>
      <c r="AG365" s="606"/>
      <c r="AH365" s="214"/>
      <c r="AI365" s="61"/>
      <c r="AJ365" s="61"/>
      <c r="AK365" s="61"/>
      <c r="AL365" s="61"/>
      <c r="AM365" s="61"/>
      <c r="AN365" s="61"/>
    </row>
    <row r="366" spans="1:52" ht="12.75">
      <c r="A366" s="61"/>
      <c r="B366" s="61"/>
      <c r="C366" s="61"/>
      <c r="D366" s="61"/>
      <c r="E366" s="61"/>
      <c r="F366" s="824"/>
      <c r="G366" s="824"/>
      <c r="H366" s="720"/>
      <c r="I366" s="832">
        <v>44562</v>
      </c>
      <c r="J366" s="774">
        <v>44621</v>
      </c>
      <c r="K366" s="774">
        <v>44682</v>
      </c>
      <c r="L366" s="774">
        <v>44743</v>
      </c>
      <c r="M366" s="774">
        <v>44774</v>
      </c>
      <c r="N366" s="775">
        <v>44805</v>
      </c>
      <c r="O366" s="775">
        <v>44835</v>
      </c>
      <c r="P366" s="775">
        <v>44866</v>
      </c>
      <c r="Q366" s="775">
        <v>44896</v>
      </c>
      <c r="R366" s="775">
        <v>44927</v>
      </c>
      <c r="X366" s="622"/>
      <c r="Y366" s="622"/>
      <c r="Z366" s="622"/>
      <c r="AA366" s="622"/>
      <c r="AB366" s="622"/>
      <c r="AC366" s="658"/>
      <c r="AD366" s="61"/>
      <c r="AE366" s="214"/>
      <c r="AF366" s="61"/>
      <c r="AG366" s="61"/>
      <c r="AH366" s="214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</row>
    <row r="367" spans="1:52" ht="20.25">
      <c r="A367" s="61"/>
      <c r="B367" s="61"/>
      <c r="C367" s="695" t="s">
        <v>131</v>
      </c>
      <c r="D367" s="694"/>
      <c r="E367" s="821"/>
      <c r="F367" s="825"/>
      <c r="G367" s="825"/>
      <c r="H367" s="836"/>
      <c r="I367" s="833">
        <f>AF371</f>
        <v>139048.77573254763</v>
      </c>
      <c r="J367" s="777">
        <f>AC371</f>
        <v>168540.08506542095</v>
      </c>
      <c r="K367" s="777">
        <f>Z371</f>
        <v>178954.29814461077</v>
      </c>
      <c r="L367" s="777">
        <f>W371</f>
        <v>194311.17571786558</v>
      </c>
      <c r="M367" s="778">
        <f>T371</f>
        <v>207406.2753322924</v>
      </c>
      <c r="N367" s="779">
        <f>Q371</f>
        <v>234170.02422892081</v>
      </c>
      <c r="O367" s="779">
        <f>N371</f>
        <v>243192.44006577774</v>
      </c>
      <c r="P367" s="779">
        <f>K371</f>
        <v>266392.39296700375</v>
      </c>
      <c r="Q367" s="779">
        <f>H371</f>
        <v>272624.39296700375</v>
      </c>
      <c r="R367" s="779">
        <f>E371</f>
        <v>281719.71580542508</v>
      </c>
      <c r="X367" s="604"/>
      <c r="Y367" s="604"/>
      <c r="Z367" s="604"/>
      <c r="AA367" s="605"/>
      <c r="AB367" s="604"/>
      <c r="AE367" s="342"/>
      <c r="AH367" s="342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</row>
    <row r="368" spans="1:52">
      <c r="A368" s="61"/>
      <c r="B368" s="851" t="s">
        <v>114</v>
      </c>
      <c r="C368" s="842"/>
      <c r="D368" s="551">
        <v>36</v>
      </c>
      <c r="E368" s="343"/>
      <c r="F368" s="825"/>
      <c r="G368" s="826"/>
      <c r="H368" s="830"/>
      <c r="I368" s="833" t="s">
        <v>496</v>
      </c>
      <c r="J368" s="778">
        <f t="shared" ref="J368:Q368" si="474">J367-$I367</f>
        <v>29491.309332873323</v>
      </c>
      <c r="K368" s="778">
        <f t="shared" si="474"/>
        <v>39905.522412063146</v>
      </c>
      <c r="L368" s="778">
        <f t="shared" si="474"/>
        <v>55262.399985317956</v>
      </c>
      <c r="M368" s="778">
        <f t="shared" si="474"/>
        <v>68357.49959974477</v>
      </c>
      <c r="N368" s="779">
        <f t="shared" si="474"/>
        <v>95121.248496373184</v>
      </c>
      <c r="O368" s="779">
        <f t="shared" si="474"/>
        <v>104143.66433323012</v>
      </c>
      <c r="P368" s="779">
        <f t="shared" si="474"/>
        <v>127343.61723445612</v>
      </c>
      <c r="Q368" s="779">
        <f t="shared" si="474"/>
        <v>133575.61723445612</v>
      </c>
      <c r="R368" s="779">
        <f t="shared" ref="R368" si="475">R367-$I367</f>
        <v>142670.94007287745</v>
      </c>
      <c r="X368" s="605"/>
      <c r="Y368" s="605"/>
      <c r="Z368" s="605"/>
      <c r="AA368" s="605"/>
      <c r="AB368" s="605"/>
      <c r="AD368" s="343"/>
      <c r="AE368" s="344"/>
      <c r="AF368" s="343"/>
      <c r="AG368" s="343"/>
      <c r="AH368" s="344"/>
      <c r="AI368" s="61"/>
      <c r="AJ368" s="69"/>
      <c r="AK368" s="61"/>
      <c r="AL368" s="61"/>
      <c r="AM368" s="69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</row>
    <row r="369" spans="1:52" ht="16.5" thickBot="1">
      <c r="A369" s="61"/>
      <c r="B369" s="851" t="s">
        <v>115</v>
      </c>
      <c r="C369" s="842"/>
      <c r="D369" s="552">
        <v>24</v>
      </c>
      <c r="E369" s="61" t="s">
        <v>503</v>
      </c>
      <c r="F369" s="717"/>
      <c r="G369" s="829"/>
      <c r="H369" s="720"/>
      <c r="I369" s="834" t="s">
        <v>500</v>
      </c>
      <c r="J369" s="781">
        <f t="shared" ref="J369:Q369" si="476">J368/$I367</f>
        <v>0.2120932685491469</v>
      </c>
      <c r="K369" s="781">
        <f t="shared" si="476"/>
        <v>0.28698938341477481</v>
      </c>
      <c r="L369" s="781">
        <f t="shared" si="476"/>
        <v>0.39743176230197108</v>
      </c>
      <c r="M369" s="781">
        <f t="shared" si="476"/>
        <v>0.49160806515281019</v>
      </c>
      <c r="N369" s="782">
        <f t="shared" si="476"/>
        <v>0.68408548004286973</v>
      </c>
      <c r="O369" s="782">
        <f t="shared" si="476"/>
        <v>0.74897217745767497</v>
      </c>
      <c r="P369" s="782">
        <f t="shared" si="476"/>
        <v>0.91581976585967428</v>
      </c>
      <c r="Q369" s="782">
        <f t="shared" si="476"/>
        <v>0.96063857111105522</v>
      </c>
      <c r="R369" s="782">
        <f t="shared" ref="R369" si="477">R368/$I367</f>
        <v>1.026049595339817</v>
      </c>
      <c r="X369" s="659"/>
      <c r="Y369" s="659"/>
      <c r="Z369" s="659"/>
      <c r="AA369" s="659"/>
      <c r="AB369" s="659"/>
      <c r="AD369" s="343"/>
      <c r="AE369" s="344"/>
      <c r="AF369" s="343"/>
      <c r="AG369" s="343"/>
      <c r="AH369" s="344"/>
      <c r="AI369" s="61"/>
      <c r="AJ369" s="69"/>
      <c r="AK369" s="61"/>
      <c r="AL369" s="61"/>
      <c r="AM369" s="69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</row>
    <row r="370" spans="1:52" ht="16.5" thickTop="1">
      <c r="A370" s="61"/>
      <c r="B370" s="61"/>
      <c r="C370" s="61"/>
      <c r="D370" s="601">
        <f>LOOKUP(D369,D17:D28,E17:E28)</f>
        <v>1.2</v>
      </c>
      <c r="E370" s="182" t="s">
        <v>61</v>
      </c>
      <c r="F370" s="742"/>
      <c r="G370" s="742"/>
      <c r="H370" s="602" t="s">
        <v>61</v>
      </c>
      <c r="I370" s="742"/>
      <c r="J370" s="742"/>
      <c r="K370" s="182" t="s">
        <v>61</v>
      </c>
      <c r="L370" s="347"/>
      <c r="M370" s="348"/>
      <c r="N370" s="602" t="s">
        <v>61</v>
      </c>
      <c r="O370" s="347"/>
      <c r="P370" s="348"/>
      <c r="Q370" s="602" t="s">
        <v>61</v>
      </c>
      <c r="R370" s="347"/>
      <c r="S370" s="348"/>
      <c r="T370" s="182" t="s">
        <v>61</v>
      </c>
      <c r="U370" s="347"/>
      <c r="V370" s="348"/>
      <c r="W370" s="602" t="s">
        <v>61</v>
      </c>
      <c r="X370" s="347"/>
      <c r="Y370" s="348"/>
      <c r="Z370" s="602" t="s">
        <v>61</v>
      </c>
      <c r="AA370" s="347"/>
      <c r="AB370" s="348"/>
      <c r="AC370" s="182" t="s">
        <v>61</v>
      </c>
      <c r="AD370" s="347"/>
      <c r="AE370" s="348"/>
      <c r="AF370" s="182" t="s">
        <v>61</v>
      </c>
      <c r="AG370" s="347"/>
      <c r="AH370" s="348"/>
      <c r="AI370" s="76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</row>
    <row r="371" spans="1:52" ht="21" thickBot="1">
      <c r="A371" s="126"/>
      <c r="B371" s="438" t="s">
        <v>116</v>
      </c>
      <c r="C371" s="346"/>
      <c r="D371" s="571"/>
      <c r="E371" s="608">
        <f>F457</f>
        <v>281719.71580542508</v>
      </c>
      <c r="F371" s="819"/>
      <c r="G371" s="819"/>
      <c r="H371" s="608">
        <f>I457</f>
        <v>272624.39296700375</v>
      </c>
      <c r="I371" s="819"/>
      <c r="J371" s="819"/>
      <c r="K371" s="608">
        <f>L457</f>
        <v>266392.39296700375</v>
      </c>
      <c r="L371" s="439"/>
      <c r="M371" s="440"/>
      <c r="N371" s="608">
        <f>O457</f>
        <v>243192.44006577774</v>
      </c>
      <c r="O371" s="439"/>
      <c r="P371" s="440"/>
      <c r="Q371" s="608">
        <f>R457</f>
        <v>234170.02422892081</v>
      </c>
      <c r="R371" s="439"/>
      <c r="S371" s="440"/>
      <c r="T371" s="608">
        <f>U457</f>
        <v>207406.2753322924</v>
      </c>
      <c r="U371" s="439"/>
      <c r="V371" s="440"/>
      <c r="W371" s="608">
        <f>X457</f>
        <v>194311.17571786558</v>
      </c>
      <c r="X371" s="439"/>
      <c r="Y371" s="440"/>
      <c r="Z371" s="608">
        <f>AA457</f>
        <v>178954.29814461077</v>
      </c>
      <c r="AA371" s="439"/>
      <c r="AB371" s="440"/>
      <c r="AC371" s="608">
        <f>AD457</f>
        <v>168540.08506542095</v>
      </c>
      <c r="AD371" s="439"/>
      <c r="AE371" s="440"/>
      <c r="AF371" s="608">
        <f>AG457</f>
        <v>139048.77573254763</v>
      </c>
      <c r="AG371" s="439"/>
      <c r="AH371" s="440"/>
      <c r="AI371" s="349"/>
      <c r="AJ371" s="441"/>
      <c r="AK371" s="126"/>
      <c r="AL371" s="126"/>
      <c r="AM371" s="441"/>
      <c r="AN371" s="126"/>
      <c r="AO371" s="126"/>
      <c r="AP371" s="126"/>
      <c r="AQ371" s="126"/>
      <c r="AR371" s="126"/>
      <c r="AS371" s="126"/>
      <c r="AT371" s="126"/>
      <c r="AU371" s="126"/>
      <c r="AV371" s="126"/>
      <c r="AW371" s="126"/>
      <c r="AX371" s="126"/>
      <c r="AY371" s="126"/>
      <c r="AZ371" s="126"/>
    </row>
    <row r="372" spans="1:52" ht="17.25" thickTop="1" thickBot="1">
      <c r="A372" s="61"/>
      <c r="B372" s="863" t="s">
        <v>117</v>
      </c>
      <c r="C372" s="849"/>
      <c r="D372" s="572">
        <v>36</v>
      </c>
      <c r="E372" s="820"/>
      <c r="F372" s="820"/>
      <c r="G372" s="820"/>
      <c r="H372" s="820"/>
      <c r="I372" s="820"/>
      <c r="J372" s="820"/>
      <c r="K372" s="442"/>
      <c r="L372" s="442"/>
      <c r="M372" s="443"/>
      <c r="N372" s="442"/>
      <c r="O372" s="442"/>
      <c r="P372" s="443"/>
      <c r="Q372" s="442"/>
      <c r="R372" s="442"/>
      <c r="S372" s="443"/>
      <c r="T372" s="442"/>
      <c r="U372" s="442"/>
      <c r="V372" s="443"/>
      <c r="W372" s="442"/>
      <c r="X372" s="442"/>
      <c r="Y372" s="443"/>
      <c r="Z372" s="442"/>
      <c r="AA372" s="442"/>
      <c r="AB372" s="443"/>
      <c r="AC372" s="442"/>
      <c r="AD372" s="442"/>
      <c r="AE372" s="443"/>
      <c r="AF372" s="442"/>
      <c r="AG372" s="442"/>
      <c r="AH372" s="443"/>
      <c r="AI372" s="61"/>
      <c r="AJ372" s="69"/>
      <c r="AK372" s="61"/>
      <c r="AL372" s="61"/>
      <c r="AM372" s="69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</row>
    <row r="373" spans="1:52">
      <c r="A373" s="61"/>
      <c r="B373" s="863" t="s">
        <v>118</v>
      </c>
      <c r="C373" s="849"/>
      <c r="D373" s="751">
        <v>36</v>
      </c>
      <c r="E373" s="820"/>
      <c r="F373" s="820"/>
      <c r="G373" s="820"/>
      <c r="H373" s="820"/>
      <c r="I373" s="820"/>
      <c r="J373" s="820"/>
      <c r="K373" s="752" t="s">
        <v>532</v>
      </c>
      <c r="L373" s="731"/>
      <c r="M373" s="342"/>
      <c r="N373" s="731"/>
      <c r="O373" s="731"/>
      <c r="P373" s="342"/>
      <c r="Q373" s="655"/>
      <c r="R373" s="655"/>
      <c r="S373" s="342"/>
      <c r="T373" s="655"/>
      <c r="U373" s="655"/>
      <c r="V373" s="342"/>
      <c r="W373" s="442"/>
      <c r="X373" s="442"/>
      <c r="Y373" s="443"/>
      <c r="Z373" s="442"/>
      <c r="AA373" s="442"/>
      <c r="AB373" s="443"/>
      <c r="AC373" s="442"/>
      <c r="AD373" s="442"/>
      <c r="AE373" s="443"/>
      <c r="AF373" s="442"/>
      <c r="AG373" s="442"/>
      <c r="AH373" s="443"/>
      <c r="AI373" s="61"/>
      <c r="AJ373" s="69"/>
      <c r="AK373" s="61"/>
      <c r="AL373" s="61"/>
      <c r="AM373" s="69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</row>
    <row r="374" spans="1:52" ht="18.75" thickBot="1">
      <c r="A374" s="61"/>
      <c r="B374" s="102" t="s">
        <v>501</v>
      </c>
      <c r="C374" s="618"/>
      <c r="D374" s="642">
        <v>15</v>
      </c>
      <c r="E374" s="642"/>
      <c r="F374" s="642"/>
      <c r="G374" s="642"/>
      <c r="H374" s="642"/>
      <c r="I374" s="642"/>
      <c r="J374" s="642"/>
      <c r="K374" s="753">
        <f>L404+O404+O404</f>
        <v>41244.784574939869</v>
      </c>
      <c r="L374" s="444"/>
      <c r="M374" s="444"/>
      <c r="N374" s="444"/>
      <c r="O374" s="444"/>
      <c r="P374" s="444"/>
      <c r="Q374" s="444"/>
      <c r="R374" s="444"/>
      <c r="S374" s="444"/>
      <c r="T374" s="444"/>
      <c r="U374" s="444"/>
      <c r="V374" s="444"/>
      <c r="W374" s="444"/>
      <c r="X374" s="444"/>
      <c r="Y374" s="444"/>
      <c r="Z374" s="444"/>
      <c r="AA374" s="444"/>
      <c r="AB374" s="444"/>
      <c r="AC374" s="444"/>
      <c r="AD374" s="444"/>
      <c r="AE374" s="444"/>
      <c r="AF374" s="444"/>
      <c r="AG374" s="444"/>
      <c r="AH374" s="444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</row>
    <row r="375" spans="1:52" s="165" customFormat="1" ht="12.75">
      <c r="A375" s="61"/>
      <c r="B375" s="864" t="s">
        <v>62</v>
      </c>
      <c r="C375" s="865"/>
      <c r="D375" s="640">
        <v>0</v>
      </c>
      <c r="E375" s="640"/>
      <c r="F375" s="640"/>
      <c r="G375" s="640"/>
      <c r="H375" s="640"/>
      <c r="I375" s="640"/>
      <c r="J375" s="640"/>
      <c r="K375" s="171"/>
      <c r="L375" s="171"/>
      <c r="M375" s="641"/>
      <c r="N375" s="171"/>
      <c r="O375" s="171"/>
      <c r="P375" s="641"/>
      <c r="Q375" s="171"/>
      <c r="R375" s="171"/>
      <c r="S375" s="641"/>
      <c r="T375" s="171"/>
      <c r="U375" s="171"/>
      <c r="V375" s="641"/>
      <c r="W375" s="171"/>
      <c r="X375" s="171"/>
      <c r="Y375" s="641"/>
      <c r="Z375" s="171"/>
      <c r="AA375" s="171"/>
      <c r="AB375" s="641"/>
      <c r="AC375" s="171"/>
      <c r="AD375" s="171"/>
      <c r="AE375" s="641"/>
      <c r="AF375" s="171"/>
      <c r="AG375" s="171"/>
      <c r="AH375" s="641"/>
      <c r="AI375" s="61"/>
      <c r="AJ375" s="70"/>
      <c r="AK375" s="619"/>
      <c r="AL375" s="61"/>
      <c r="AM375" s="70"/>
      <c r="AN375" s="619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</row>
    <row r="376" spans="1:52" ht="18">
      <c r="A376" s="126"/>
      <c r="B376" s="866" t="s">
        <v>63</v>
      </c>
      <c r="C376" s="849"/>
      <c r="D376" s="185">
        <f>canthorsup*86.9</f>
        <v>3128.4</v>
      </c>
      <c r="E376" s="185"/>
      <c r="F376" s="185"/>
      <c r="G376" s="185"/>
      <c r="H376" s="185"/>
      <c r="I376" s="185"/>
      <c r="J376" s="185"/>
      <c r="K376" s="190"/>
      <c r="L376" s="190"/>
      <c r="M376" s="191"/>
      <c r="N376" s="190"/>
      <c r="O376" s="190"/>
      <c r="P376" s="191"/>
      <c r="Q376" s="190"/>
      <c r="R376" s="190"/>
      <c r="S376" s="191"/>
      <c r="T376" s="190"/>
      <c r="U376" s="190"/>
      <c r="V376" s="191"/>
      <c r="W376" s="190"/>
      <c r="X376" s="190"/>
      <c r="Y376" s="191"/>
      <c r="Z376" s="190"/>
      <c r="AA376" s="190"/>
      <c r="AB376" s="191"/>
      <c r="AC376" s="190"/>
      <c r="AD376" s="190"/>
      <c r="AE376" s="191"/>
      <c r="AF376" s="190"/>
      <c r="AG376" s="190"/>
      <c r="AH376" s="191"/>
      <c r="AI376" s="126"/>
      <c r="AJ376" s="69"/>
      <c r="AK376" s="441"/>
      <c r="AL376" s="126"/>
      <c r="AM376" s="69"/>
      <c r="AN376" s="441"/>
      <c r="AO376" s="126"/>
      <c r="AP376" s="126"/>
      <c r="AQ376" s="126"/>
      <c r="AR376" s="126"/>
      <c r="AS376" s="126"/>
      <c r="AT376" s="126"/>
      <c r="AU376" s="126"/>
      <c r="AV376" s="126"/>
      <c r="AW376" s="126"/>
      <c r="AX376" s="126"/>
      <c r="AY376" s="126"/>
      <c r="AZ376" s="126"/>
    </row>
    <row r="377" spans="1:52" ht="18">
      <c r="A377" s="126"/>
      <c r="B377" s="445"/>
      <c r="C377" s="446"/>
      <c r="D377" s="447"/>
      <c r="E377" s="40">
        <v>44927</v>
      </c>
      <c r="F377" s="823" t="s">
        <v>535</v>
      </c>
      <c r="G377" s="447"/>
      <c r="H377" s="40">
        <v>44896</v>
      </c>
      <c r="I377" s="187" t="s">
        <v>533</v>
      </c>
      <c r="J377" s="447"/>
      <c r="K377" s="40">
        <v>44866</v>
      </c>
      <c r="L377" s="187" t="s">
        <v>519</v>
      </c>
      <c r="M377" s="193"/>
      <c r="N377" s="40">
        <v>44835</v>
      </c>
      <c r="O377" s="187" t="s">
        <v>520</v>
      </c>
      <c r="P377" s="193"/>
      <c r="Q377" s="40">
        <v>44805</v>
      </c>
      <c r="R377" s="187" t="s">
        <v>516</v>
      </c>
      <c r="S377" s="193"/>
      <c r="T377" s="40">
        <v>44774</v>
      </c>
      <c r="U377" s="689" t="s">
        <v>510</v>
      </c>
      <c r="V377" s="193"/>
      <c r="W377" s="40">
        <v>44743</v>
      </c>
      <c r="X377" s="187" t="s">
        <v>495</v>
      </c>
      <c r="Y377" s="193"/>
      <c r="Z377" s="40">
        <v>44682</v>
      </c>
      <c r="AA377" s="187" t="s">
        <v>494</v>
      </c>
      <c r="AB377" s="193"/>
      <c r="AC377" s="40">
        <v>44621</v>
      </c>
      <c r="AD377" s="187" t="s">
        <v>493</v>
      </c>
      <c r="AE377" s="196"/>
      <c r="AF377" s="40">
        <v>44562</v>
      </c>
      <c r="AG377" s="588">
        <v>8.8999999999999996E-2</v>
      </c>
      <c r="AH377" s="448"/>
      <c r="AI377" s="69"/>
      <c r="AJ377" s="69"/>
      <c r="AK377" s="126"/>
      <c r="AL377" s="195"/>
      <c r="AM377" s="126"/>
      <c r="AN377" s="126"/>
      <c r="AO377" s="126"/>
      <c r="AP377" s="126"/>
      <c r="AQ377" s="126"/>
      <c r="AR377" s="126"/>
      <c r="AS377" s="126"/>
      <c r="AT377" s="126"/>
      <c r="AU377" s="126"/>
      <c r="AV377" s="126"/>
      <c r="AW377" s="126"/>
      <c r="AX377" s="126"/>
      <c r="AY377" s="126"/>
      <c r="AZ377" s="126"/>
    </row>
    <row r="378" spans="1:52">
      <c r="A378" s="126"/>
      <c r="B378" s="362" t="s">
        <v>65</v>
      </c>
      <c r="C378" s="363" t="s">
        <v>66</v>
      </c>
      <c r="D378" s="364" t="s">
        <v>67</v>
      </c>
      <c r="E378" s="364"/>
      <c r="F378" s="364"/>
      <c r="G378" s="365"/>
      <c r="H378" s="364"/>
      <c r="I378" s="364"/>
      <c r="J378" s="365"/>
      <c r="K378" s="364"/>
      <c r="L378" s="364"/>
      <c r="M378" s="365"/>
      <c r="N378" s="364"/>
      <c r="O378" s="364"/>
      <c r="P378" s="365"/>
      <c r="Q378" s="364"/>
      <c r="R378" s="364"/>
      <c r="S378" s="365"/>
      <c r="T378" s="364"/>
      <c r="U378" s="364"/>
      <c r="V378" s="365"/>
      <c r="W378" s="364"/>
      <c r="X378" s="364"/>
      <c r="Y378" s="365"/>
      <c r="Z378" s="364"/>
      <c r="AA378" s="364"/>
      <c r="AB378" s="365"/>
      <c r="AC378" s="364"/>
      <c r="AD378" s="364"/>
      <c r="AE378" s="365"/>
      <c r="AF378" s="364"/>
      <c r="AG378" s="364"/>
      <c r="AH378" s="365"/>
      <c r="AI378" s="69"/>
      <c r="AJ378" s="69"/>
      <c r="AK378" s="126"/>
      <c r="AL378" s="195"/>
      <c r="AM378" s="126"/>
      <c r="AN378" s="126"/>
      <c r="AO378" s="126"/>
      <c r="AP378" s="126"/>
      <c r="AQ378" s="126"/>
      <c r="AR378" s="126"/>
      <c r="AS378" s="126"/>
      <c r="AT378" s="126"/>
      <c r="AU378" s="126"/>
      <c r="AV378" s="126"/>
      <c r="AW378" s="126"/>
      <c r="AX378" s="126"/>
      <c r="AY378" s="126"/>
      <c r="AZ378" s="126"/>
    </row>
    <row r="379" spans="1:52">
      <c r="A379" s="126"/>
      <c r="B379" s="565">
        <v>4</v>
      </c>
      <c r="C379" s="573">
        <v>36</v>
      </c>
      <c r="D379" s="373" t="s">
        <v>122</v>
      </c>
      <c r="E379" s="208">
        <f>E434</f>
        <v>120552.26831999999</v>
      </c>
      <c r="F379" s="208"/>
      <c r="G379" s="802"/>
      <c r="H379" s="208">
        <f>H434</f>
        <v>117324.3852</v>
      </c>
      <c r="I379" s="208"/>
      <c r="J379" s="802"/>
      <c r="K379" s="208">
        <f>K434</f>
        <v>117324.3852</v>
      </c>
      <c r="L379" s="208"/>
      <c r="M379" s="802"/>
      <c r="N379" s="208">
        <f>N434</f>
        <v>106463.83176</v>
      </c>
      <c r="O379" s="208"/>
      <c r="P379" s="802"/>
      <c r="Q379" s="208">
        <f>Q434</f>
        <v>102240.17892000001</v>
      </c>
      <c r="R379" s="368">
        <f>R434</f>
        <v>0</v>
      </c>
      <c r="S379" s="449"/>
      <c r="T379" s="368">
        <f>T434</f>
        <v>90172.917602460002</v>
      </c>
      <c r="U379" s="368">
        <f>U434</f>
        <v>0</v>
      </c>
      <c r="V379" s="449"/>
      <c r="W379" s="368">
        <f>W434</f>
        <v>84042.727954811999</v>
      </c>
      <c r="X379" s="368">
        <f>X434</f>
        <v>0</v>
      </c>
      <c r="Y379" s="449"/>
      <c r="Z379" s="368">
        <f>Z434</f>
        <v>78009.076726811996</v>
      </c>
      <c r="AA379" s="368">
        <f>AA434</f>
        <v>0</v>
      </c>
      <c r="AB379" s="449"/>
      <c r="AC379" s="368">
        <f>AC434</f>
        <v>73133.886534588004</v>
      </c>
      <c r="AD379" s="368">
        <f>AD434</f>
        <v>0</v>
      </c>
      <c r="AE379" s="449"/>
      <c r="AF379" s="368">
        <f>AF434</f>
        <v>60336.512280000003</v>
      </c>
      <c r="AG379" s="368">
        <f>AG434</f>
        <v>0</v>
      </c>
      <c r="AH379" s="449"/>
      <c r="AI379" s="69"/>
      <c r="AJ379" s="69"/>
      <c r="AK379" s="126"/>
      <c r="AL379" s="195"/>
      <c r="AM379" s="126"/>
      <c r="AN379" s="126"/>
      <c r="AO379" s="126"/>
      <c r="AP379" s="126"/>
      <c r="AQ379" s="126"/>
      <c r="AR379" s="126"/>
      <c r="AS379" s="126"/>
      <c r="AT379" s="126"/>
      <c r="AU379" s="126"/>
      <c r="AV379" s="126"/>
      <c r="AW379" s="126"/>
      <c r="AX379" s="126"/>
      <c r="AY379" s="126"/>
      <c r="AZ379" s="126"/>
    </row>
    <row r="380" spans="1:52">
      <c r="A380" s="126"/>
      <c r="B380" s="556">
        <v>10</v>
      </c>
      <c r="C380" s="701">
        <v>1.2</v>
      </c>
      <c r="D380" s="367" t="s">
        <v>76</v>
      </c>
      <c r="E380" s="367">
        <f t="shared" ref="E380:E387" si="478">E435</f>
        <v>144662.72198399997</v>
      </c>
      <c r="F380" s="367"/>
      <c r="G380" s="450"/>
      <c r="H380" s="367">
        <f t="shared" ref="H380:H387" si="479">H435</f>
        <v>140789.26224000001</v>
      </c>
      <c r="I380" s="367"/>
      <c r="J380" s="450"/>
      <c r="K380" s="367">
        <f t="shared" ref="K380:K387" si="480">K435</f>
        <v>140789.26224000001</v>
      </c>
      <c r="L380" s="367"/>
      <c r="M380" s="450"/>
      <c r="N380" s="367">
        <f t="shared" ref="N380:N387" si="481">N435</f>
        <v>127756.59811199999</v>
      </c>
      <c r="O380" s="367"/>
      <c r="P380" s="450"/>
      <c r="Q380" s="367">
        <f t="shared" ref="Q380:Q387" si="482">Q435</f>
        <v>122688.214704</v>
      </c>
      <c r="R380" s="367"/>
      <c r="S380" s="450"/>
      <c r="T380" s="367">
        <f t="shared" ref="T380:T387" si="483">T435</f>
        <v>108207.501122952</v>
      </c>
      <c r="U380" s="367"/>
      <c r="V380" s="450"/>
      <c r="W380" s="367">
        <f t="shared" ref="W380:W387" si="484">W435</f>
        <v>100851.2735457744</v>
      </c>
      <c r="X380" s="367"/>
      <c r="Y380" s="450"/>
      <c r="Z380" s="367">
        <f t="shared" ref="Z380:Z387" si="485">Z435</f>
        <v>93610.892072174393</v>
      </c>
      <c r="AA380" s="367"/>
      <c r="AB380" s="450"/>
      <c r="AC380" s="367">
        <f t="shared" ref="AC380" si="486">AC435</f>
        <v>87760.663841505608</v>
      </c>
      <c r="AD380" s="367"/>
      <c r="AE380" s="450"/>
      <c r="AF380" s="367">
        <f t="shared" ref="AF380:AF387" si="487">AF435</f>
        <v>72403.814736</v>
      </c>
      <c r="AG380" s="367"/>
      <c r="AH380" s="450"/>
      <c r="AI380" s="69"/>
      <c r="AJ380" s="69"/>
      <c r="AK380" s="126"/>
      <c r="AL380" s="195"/>
      <c r="AM380" s="126"/>
      <c r="AN380" s="126"/>
      <c r="AO380" s="126"/>
      <c r="AP380" s="126"/>
      <c r="AQ380" s="126"/>
      <c r="AR380" s="126"/>
      <c r="AS380" s="126"/>
      <c r="AT380" s="126"/>
      <c r="AU380" s="126"/>
      <c r="AV380" s="126"/>
      <c r="AW380" s="126"/>
      <c r="AX380" s="126"/>
      <c r="AY380" s="126"/>
      <c r="AZ380" s="126"/>
    </row>
    <row r="381" spans="1:52">
      <c r="A381" s="126"/>
      <c r="B381" s="565">
        <v>6</v>
      </c>
      <c r="C381" s="47">
        <f>C436</f>
        <v>17</v>
      </c>
      <c r="D381" s="373" t="s">
        <v>75</v>
      </c>
      <c r="E381" s="373">
        <f t="shared" si="478"/>
        <v>10524.749460017703</v>
      </c>
      <c r="F381" s="373"/>
      <c r="G381" s="449"/>
      <c r="H381" s="373">
        <f t="shared" si="479"/>
        <v>10242.930593095307</v>
      </c>
      <c r="I381" s="373"/>
      <c r="J381" s="449"/>
      <c r="K381" s="373">
        <f t="shared" si="480"/>
        <v>10242.930593095307</v>
      </c>
      <c r="L381" s="373"/>
      <c r="M381" s="449"/>
      <c r="N381" s="373">
        <f t="shared" si="481"/>
        <v>9294.7549660666864</v>
      </c>
      <c r="O381" s="373"/>
      <c r="P381" s="449"/>
      <c r="Q381" s="373">
        <f t="shared" si="482"/>
        <v>8926.0199999999986</v>
      </c>
      <c r="R381" s="373"/>
      <c r="S381" s="449"/>
      <c r="T381" s="373">
        <f t="shared" si="483"/>
        <v>7872.4047363499985</v>
      </c>
      <c r="U381" s="373"/>
      <c r="V381" s="449"/>
      <c r="W381" s="373">
        <f t="shared" si="484"/>
        <v>7337.2181714699991</v>
      </c>
      <c r="X381" s="373"/>
      <c r="Y381" s="449"/>
      <c r="Z381" s="373">
        <f t="shared" si="485"/>
        <v>6810.4597414699992</v>
      </c>
      <c r="AA381" s="373"/>
      <c r="AB381" s="449"/>
      <c r="AC381" s="373">
        <f t="shared" ref="AC381" si="488">AC436</f>
        <v>6384.8389300299996</v>
      </c>
      <c r="AD381" s="373"/>
      <c r="AE381" s="449"/>
      <c r="AF381" s="373">
        <f t="shared" si="487"/>
        <v>5267.5842999999995</v>
      </c>
      <c r="AG381" s="373"/>
      <c r="AH381" s="449"/>
      <c r="AI381" s="69"/>
      <c r="AJ381" s="69"/>
      <c r="AK381" s="126"/>
      <c r="AL381" s="195"/>
      <c r="AM381" s="126"/>
      <c r="AN381" s="126"/>
      <c r="AO381" s="126"/>
      <c r="AP381" s="126"/>
      <c r="AQ381" s="126"/>
      <c r="AR381" s="126"/>
      <c r="AS381" s="126"/>
      <c r="AT381" s="126"/>
      <c r="AU381" s="126"/>
      <c r="AV381" s="126"/>
      <c r="AW381" s="126"/>
      <c r="AX381" s="126"/>
      <c r="AY381" s="126"/>
      <c r="AZ381" s="126"/>
    </row>
    <row r="382" spans="1:52">
      <c r="A382" s="126"/>
      <c r="B382" s="556">
        <v>14</v>
      </c>
      <c r="C382" s="701">
        <v>7.0000000000000007E-2</v>
      </c>
      <c r="D382" s="367" t="s">
        <v>123</v>
      </c>
      <c r="E382" s="367">
        <f t="shared" si="478"/>
        <v>736.73246220123929</v>
      </c>
      <c r="F382" s="367"/>
      <c r="G382" s="450"/>
      <c r="H382" s="367">
        <f t="shared" si="479"/>
        <v>717.00514151667153</v>
      </c>
      <c r="I382" s="367"/>
      <c r="J382" s="450"/>
      <c r="K382" s="367">
        <f t="shared" si="480"/>
        <v>717.00514151667153</v>
      </c>
      <c r="L382" s="367"/>
      <c r="M382" s="450"/>
      <c r="N382" s="367">
        <f t="shared" si="481"/>
        <v>650.6328476246681</v>
      </c>
      <c r="O382" s="367"/>
      <c r="P382" s="450"/>
      <c r="Q382" s="367">
        <f t="shared" si="482"/>
        <v>624.82139999999993</v>
      </c>
      <c r="R382" s="367"/>
      <c r="S382" s="450"/>
      <c r="T382" s="367">
        <f t="shared" si="483"/>
        <v>551.06833154449998</v>
      </c>
      <c r="U382" s="367"/>
      <c r="V382" s="450"/>
      <c r="W382" s="367">
        <f t="shared" si="484"/>
        <v>513.60527200289994</v>
      </c>
      <c r="X382" s="367"/>
      <c r="Y382" s="450"/>
      <c r="Z382" s="367">
        <f t="shared" si="485"/>
        <v>476.73218190289998</v>
      </c>
      <c r="AA382" s="367"/>
      <c r="AB382" s="450"/>
      <c r="AC382" s="367">
        <f t="shared" ref="AC382" si="489">AC437</f>
        <v>446.93872510210002</v>
      </c>
      <c r="AD382" s="367"/>
      <c r="AE382" s="450"/>
      <c r="AF382" s="367">
        <f t="shared" si="487"/>
        <v>368.73090100000002</v>
      </c>
      <c r="AG382" s="367"/>
      <c r="AH382" s="450"/>
      <c r="AI382" s="69"/>
      <c r="AJ382" s="69"/>
      <c r="AK382" s="126"/>
      <c r="AL382" s="195"/>
      <c r="AM382" s="126"/>
      <c r="AN382" s="126"/>
      <c r="AO382" s="126"/>
      <c r="AP382" s="126"/>
      <c r="AQ382" s="126"/>
      <c r="AR382" s="126"/>
      <c r="AS382" s="126"/>
      <c r="AT382" s="126"/>
      <c r="AU382" s="126"/>
      <c r="AV382" s="126"/>
      <c r="AW382" s="126"/>
      <c r="AX382" s="126"/>
      <c r="AY382" s="126"/>
      <c r="AZ382" s="126"/>
    </row>
    <row r="383" spans="1:52">
      <c r="A383" s="126"/>
      <c r="B383" s="794">
        <v>188</v>
      </c>
      <c r="C383" s="800">
        <v>7.0000000000000007E-2</v>
      </c>
      <c r="D383" s="796" t="s">
        <v>78</v>
      </c>
      <c r="E383" s="796">
        <f t="shared" si="478"/>
        <v>20062.136934798593</v>
      </c>
      <c r="F383" s="796"/>
      <c r="G383" s="449"/>
      <c r="H383" s="796">
        <f t="shared" si="479"/>
        <v>19524.955753476133</v>
      </c>
      <c r="I383" s="796"/>
      <c r="J383" s="449"/>
      <c r="K383" s="796">
        <f t="shared" si="480"/>
        <v>19524.955753476133</v>
      </c>
      <c r="L383" s="796"/>
      <c r="M383" s="449"/>
      <c r="N383" s="796">
        <f t="shared" si="481"/>
        <v>17717.55776574148</v>
      </c>
      <c r="O383" s="796"/>
      <c r="P383" s="449"/>
      <c r="Q383" s="796">
        <f t="shared" si="482"/>
        <v>17014.663653680003</v>
      </c>
      <c r="R383" s="796"/>
      <c r="S383" s="449"/>
      <c r="T383" s="796">
        <f t="shared" si="483"/>
        <v>15006.447848518346</v>
      </c>
      <c r="U383" s="796"/>
      <c r="V383" s="449"/>
      <c r="W383" s="796">
        <f t="shared" si="484"/>
        <v>13986.270463834866</v>
      </c>
      <c r="X383" s="796"/>
      <c r="Y383" s="449"/>
      <c r="Z383" s="796">
        <f t="shared" si="485"/>
        <v>12982.15886473695</v>
      </c>
      <c r="AA383" s="796"/>
      <c r="AB383" s="449"/>
      <c r="AC383" s="796">
        <f t="shared" ref="AC383" si="490">AC438</f>
        <v>12170.836692665833</v>
      </c>
      <c r="AD383" s="796"/>
      <c r="AE383" s="449"/>
      <c r="AF383" s="796">
        <f t="shared" si="487"/>
        <v>10041.115990979157</v>
      </c>
      <c r="AG383" s="796"/>
      <c r="AH383" s="450"/>
      <c r="AI383" s="69"/>
      <c r="AJ383" s="69"/>
      <c r="AK383" s="126"/>
      <c r="AL383" s="195"/>
      <c r="AM383" s="126"/>
      <c r="AN383" s="126"/>
      <c r="AO383" s="126"/>
      <c r="AP383" s="126"/>
      <c r="AQ383" s="126"/>
      <c r="AR383" s="126"/>
      <c r="AS383" s="126"/>
      <c r="AT383" s="126"/>
      <c r="AU383" s="126"/>
      <c r="AV383" s="126"/>
      <c r="AW383" s="126"/>
      <c r="AX383" s="126"/>
      <c r="AY383" s="126"/>
      <c r="AZ383" s="126"/>
    </row>
    <row r="384" spans="1:52">
      <c r="A384" s="126"/>
      <c r="B384" s="556">
        <v>117</v>
      </c>
      <c r="C384" s="558"/>
      <c r="D384" s="367" t="s">
        <v>84</v>
      </c>
      <c r="E384" s="367">
        <f t="shared" si="478"/>
        <v>6312.0559074084504</v>
      </c>
      <c r="F384" s="367"/>
      <c r="G384" s="449"/>
      <c r="H384" s="367">
        <f t="shared" si="479"/>
        <v>6143.0393953732382</v>
      </c>
      <c r="I384" s="367"/>
      <c r="J384" s="449"/>
      <c r="K384" s="367">
        <f t="shared" si="480"/>
        <v>6143.0393953732382</v>
      </c>
      <c r="L384" s="367"/>
      <c r="M384" s="449"/>
      <c r="N384" s="367">
        <f t="shared" si="481"/>
        <v>5574.3857100211262</v>
      </c>
      <c r="O384" s="367"/>
      <c r="P384" s="449"/>
      <c r="Q384" s="367">
        <f t="shared" si="482"/>
        <v>5353.23</v>
      </c>
      <c r="R384" s="367"/>
      <c r="S384" s="449"/>
      <c r="T384" s="367">
        <f t="shared" si="483"/>
        <v>4721.4051819929573</v>
      </c>
      <c r="U384" s="367"/>
      <c r="V384" s="449"/>
      <c r="W384" s="367">
        <f t="shared" si="484"/>
        <v>4400.4317684830985</v>
      </c>
      <c r="X384" s="367"/>
      <c r="Y384" s="449"/>
      <c r="Z384" s="367">
        <f t="shared" si="485"/>
        <v>4084.5130543985911</v>
      </c>
      <c r="AA384" s="367"/>
      <c r="AB384" s="449"/>
      <c r="AC384" s="367">
        <f t="shared" ref="AC384" si="491">AC439</f>
        <v>3829.2507334183092</v>
      </c>
      <c r="AD384" s="367"/>
      <c r="AE384" s="449"/>
      <c r="AF384" s="367">
        <f t="shared" si="487"/>
        <v>3159.1871408450702</v>
      </c>
      <c r="AG384" s="367"/>
      <c r="AH384" s="449"/>
      <c r="AI384" s="69"/>
      <c r="AJ384" s="69"/>
      <c r="AK384" s="126"/>
      <c r="AL384" s="195"/>
      <c r="AM384" s="126"/>
      <c r="AN384" s="126"/>
      <c r="AO384" s="126"/>
      <c r="AP384" s="126"/>
      <c r="AQ384" s="126"/>
      <c r="AR384" s="126"/>
      <c r="AS384" s="126"/>
      <c r="AT384" s="126"/>
      <c r="AU384" s="126"/>
      <c r="AV384" s="126"/>
      <c r="AW384" s="126"/>
      <c r="AX384" s="126"/>
      <c r="AY384" s="126"/>
      <c r="AZ384" s="126"/>
    </row>
    <row r="385" spans="1:52">
      <c r="A385" s="126"/>
      <c r="B385" s="565">
        <v>29</v>
      </c>
      <c r="C385" s="565">
        <f>cantkmhs</f>
        <v>0</v>
      </c>
      <c r="D385" s="373" t="s">
        <v>85</v>
      </c>
      <c r="E385" s="373">
        <f t="shared" si="478"/>
        <v>0</v>
      </c>
      <c r="F385" s="373"/>
      <c r="G385" s="449"/>
      <c r="H385" s="373">
        <f t="shared" si="479"/>
        <v>0</v>
      </c>
      <c r="I385" s="373"/>
      <c r="J385" s="449"/>
      <c r="K385" s="373">
        <f t="shared" si="480"/>
        <v>0</v>
      </c>
      <c r="L385" s="373"/>
      <c r="M385" s="449"/>
      <c r="N385" s="373">
        <f t="shared" si="481"/>
        <v>0</v>
      </c>
      <c r="O385" s="373"/>
      <c r="P385" s="449"/>
      <c r="Q385" s="373">
        <f t="shared" si="482"/>
        <v>0</v>
      </c>
      <c r="R385" s="373"/>
      <c r="S385" s="449"/>
      <c r="T385" s="373">
        <f t="shared" si="483"/>
        <v>0</v>
      </c>
      <c r="U385" s="373"/>
      <c r="V385" s="449"/>
      <c r="W385" s="373">
        <f t="shared" si="484"/>
        <v>0</v>
      </c>
      <c r="X385" s="373"/>
      <c r="Y385" s="449"/>
      <c r="Z385" s="373">
        <f t="shared" si="485"/>
        <v>0</v>
      </c>
      <c r="AA385" s="373"/>
      <c r="AB385" s="449"/>
      <c r="AC385" s="373">
        <f t="shared" ref="AC385" si="492">AC440</f>
        <v>0</v>
      </c>
      <c r="AD385" s="373"/>
      <c r="AE385" s="449"/>
      <c r="AF385" s="373">
        <f t="shared" si="487"/>
        <v>0</v>
      </c>
      <c r="AG385" s="373"/>
      <c r="AH385" s="449"/>
      <c r="AI385" s="69"/>
      <c r="AJ385" s="69"/>
      <c r="AK385" s="126"/>
      <c r="AL385" s="195"/>
      <c r="AM385" s="126"/>
      <c r="AN385" s="126"/>
      <c r="AO385" s="126"/>
      <c r="AP385" s="126"/>
      <c r="AQ385" s="126"/>
      <c r="AR385" s="126"/>
      <c r="AS385" s="126"/>
      <c r="AT385" s="126"/>
      <c r="AU385" s="126"/>
      <c r="AV385" s="126"/>
      <c r="AW385" s="126"/>
      <c r="AX385" s="126"/>
      <c r="AY385" s="126"/>
      <c r="AZ385" s="126"/>
    </row>
    <row r="386" spans="1:52">
      <c r="A386" s="126"/>
      <c r="B386" s="566">
        <v>38</v>
      </c>
      <c r="C386" s="646">
        <f>D374</f>
        <v>15</v>
      </c>
      <c r="D386" s="374" t="s">
        <v>125</v>
      </c>
      <c r="E386" s="374">
        <f t="shared" si="478"/>
        <v>15074.91</v>
      </c>
      <c r="F386" s="374"/>
      <c r="G386" s="451"/>
      <c r="H386" s="374">
        <f t="shared" si="479"/>
        <v>14671.252499999999</v>
      </c>
      <c r="I386" s="374"/>
      <c r="J386" s="451"/>
      <c r="K386" s="374">
        <f t="shared" si="480"/>
        <v>14671.252499999999</v>
      </c>
      <c r="L386" s="374"/>
      <c r="M386" s="451"/>
      <c r="N386" s="374">
        <f t="shared" si="481"/>
        <v>13313.1525</v>
      </c>
      <c r="O386" s="374"/>
      <c r="P386" s="451"/>
      <c r="Q386" s="374">
        <f t="shared" si="482"/>
        <v>12785</v>
      </c>
      <c r="R386" s="374"/>
      <c r="S386" s="451"/>
      <c r="T386" s="374">
        <f t="shared" si="483"/>
        <v>11276.002499999999</v>
      </c>
      <c r="U386" s="374"/>
      <c r="V386" s="451"/>
      <c r="W386" s="374">
        <f t="shared" si="484"/>
        <v>10509.4305</v>
      </c>
      <c r="X386" s="374"/>
      <c r="Y386" s="451"/>
      <c r="Z386" s="374">
        <f t="shared" si="485"/>
        <v>9754.9305000000004</v>
      </c>
      <c r="AA386" s="374"/>
      <c r="AB386" s="451"/>
      <c r="AC386" s="374">
        <f t="shared" ref="AC386" si="493">AC441</f>
        <v>9145.2945</v>
      </c>
      <c r="AD386" s="374"/>
      <c r="AE386" s="451"/>
      <c r="AF386" s="374">
        <f t="shared" si="487"/>
        <v>7545</v>
      </c>
      <c r="AG386" s="374"/>
      <c r="AH386" s="451"/>
      <c r="AI386" s="69"/>
      <c r="AJ386" s="69"/>
      <c r="AK386" s="126"/>
      <c r="AL386" s="195"/>
      <c r="AM386" s="126"/>
      <c r="AN386" s="126"/>
      <c r="AO386" s="126"/>
      <c r="AP386" s="126"/>
      <c r="AQ386" s="126"/>
      <c r="AR386" s="126"/>
      <c r="AS386" s="126"/>
      <c r="AT386" s="126"/>
      <c r="AU386" s="126"/>
      <c r="AV386" s="126"/>
      <c r="AW386" s="126"/>
      <c r="AX386" s="126"/>
      <c r="AY386" s="126"/>
      <c r="AZ386" s="126"/>
    </row>
    <row r="387" spans="1:52">
      <c r="A387" s="126"/>
      <c r="B387" s="794"/>
      <c r="C387" s="805"/>
      <c r="D387" s="806" t="s">
        <v>132</v>
      </c>
      <c r="E387" s="806">
        <f t="shared" si="478"/>
        <v>317925.57506842603</v>
      </c>
      <c r="F387" s="806"/>
      <c r="G387" s="807"/>
      <c r="H387" s="806">
        <f t="shared" si="479"/>
        <v>309412.83082346141</v>
      </c>
      <c r="I387" s="806"/>
      <c r="J387" s="807"/>
      <c r="K387" s="806">
        <f t="shared" si="480"/>
        <v>309412.83082346141</v>
      </c>
      <c r="L387" s="806"/>
      <c r="M387" s="807"/>
      <c r="N387" s="806">
        <f t="shared" si="481"/>
        <v>280770.91366145399</v>
      </c>
      <c r="O387" s="806"/>
      <c r="P387" s="807"/>
      <c r="Q387" s="806">
        <f t="shared" si="482"/>
        <v>269632.12867768004</v>
      </c>
      <c r="R387" s="372"/>
      <c r="S387" s="452"/>
      <c r="T387" s="372">
        <f t="shared" si="483"/>
        <v>237807.74732381778</v>
      </c>
      <c r="U387" s="372"/>
      <c r="V387" s="452"/>
      <c r="W387" s="372">
        <f t="shared" si="484"/>
        <v>221640.95767637726</v>
      </c>
      <c r="X387" s="372"/>
      <c r="Y387" s="452"/>
      <c r="Z387" s="372">
        <f t="shared" si="485"/>
        <v>205728.7631414948</v>
      </c>
      <c r="AA387" s="372"/>
      <c r="AB387" s="452"/>
      <c r="AC387" s="372">
        <f t="shared" ref="AC387" si="494">AC442</f>
        <v>192871.70995730982</v>
      </c>
      <c r="AD387" s="372"/>
      <c r="AE387" s="452"/>
      <c r="AF387" s="372">
        <f t="shared" si="487"/>
        <v>159121.94534882423</v>
      </c>
      <c r="AG387" s="372"/>
      <c r="AH387" s="452"/>
      <c r="AI387" s="69"/>
      <c r="AJ387" s="69"/>
      <c r="AK387" s="126"/>
      <c r="AL387" s="195"/>
      <c r="AM387" s="126"/>
      <c r="AN387" s="126"/>
      <c r="AO387" s="126"/>
      <c r="AP387" s="126"/>
      <c r="AQ387" s="126"/>
      <c r="AR387" s="126"/>
      <c r="AS387" s="126"/>
      <c r="AT387" s="126"/>
      <c r="AU387" s="126"/>
      <c r="AV387" s="126"/>
      <c r="AW387" s="126"/>
      <c r="AX387" s="126"/>
      <c r="AY387" s="126"/>
      <c r="AZ387" s="126"/>
    </row>
    <row r="388" spans="1:52">
      <c r="A388" s="126"/>
      <c r="B388" s="567" t="s">
        <v>127</v>
      </c>
      <c r="C388" s="560"/>
      <c r="D388" s="367"/>
      <c r="E388" s="615">
        <v>0</v>
      </c>
      <c r="F388" s="367"/>
      <c r="G388" s="450"/>
      <c r="H388" s="615">
        <v>0</v>
      </c>
      <c r="I388" s="367"/>
      <c r="J388" s="450"/>
      <c r="K388" s="615">
        <v>0</v>
      </c>
      <c r="L388" s="367"/>
      <c r="M388" s="450"/>
      <c r="N388" s="615">
        <v>0</v>
      </c>
      <c r="O388" s="367"/>
      <c r="P388" s="450"/>
      <c r="Q388" s="615">
        <v>0</v>
      </c>
      <c r="R388" s="367"/>
      <c r="S388" s="450"/>
      <c r="T388" s="615">
        <v>0</v>
      </c>
      <c r="U388" s="367"/>
      <c r="V388" s="450"/>
      <c r="W388" s="453">
        <v>0</v>
      </c>
      <c r="X388" s="367"/>
      <c r="Y388" s="450"/>
      <c r="Z388" s="453">
        <v>0</v>
      </c>
      <c r="AA388" s="367"/>
      <c r="AB388" s="450"/>
      <c r="AC388" s="453">
        <v>0</v>
      </c>
      <c r="AD388" s="367"/>
      <c r="AE388" s="450"/>
      <c r="AF388" s="453">
        <v>0</v>
      </c>
      <c r="AG388" s="367"/>
      <c r="AH388" s="450"/>
      <c r="AI388" s="69"/>
      <c r="AJ388" s="69"/>
      <c r="AK388" s="126"/>
      <c r="AL388" s="195"/>
      <c r="AM388" s="126"/>
      <c r="AN388" s="126"/>
      <c r="AO388" s="126"/>
      <c r="AP388" s="126"/>
      <c r="AQ388" s="126"/>
      <c r="AR388" s="126"/>
      <c r="AS388" s="126"/>
      <c r="AT388" s="126"/>
      <c r="AU388" s="126"/>
      <c r="AV388" s="126"/>
      <c r="AW388" s="126"/>
      <c r="AX388" s="126"/>
      <c r="AY388" s="126"/>
      <c r="AZ388" s="126"/>
    </row>
    <row r="389" spans="1:52">
      <c r="A389" s="126"/>
      <c r="B389" s="803"/>
      <c r="C389" s="804"/>
      <c r="D389" s="373"/>
      <c r="E389" s="373">
        <f t="shared" ref="E389:E394" si="495">E444</f>
        <v>0</v>
      </c>
      <c r="F389" s="373"/>
      <c r="G389" s="449"/>
      <c r="H389" s="373">
        <f t="shared" ref="H389:H394" si="496">H444</f>
        <v>0</v>
      </c>
      <c r="I389" s="373"/>
      <c r="J389" s="449"/>
      <c r="K389" s="373">
        <f t="shared" ref="K389:K394" si="497">K444</f>
        <v>0</v>
      </c>
      <c r="L389" s="373"/>
      <c r="M389" s="449"/>
      <c r="N389" s="373">
        <f t="shared" ref="N389:N394" si="498">N444</f>
        <v>0</v>
      </c>
      <c r="O389" s="373"/>
      <c r="P389" s="449"/>
      <c r="Q389" s="373">
        <f t="shared" ref="Q389:Q390" si="499">Q444</f>
        <v>0</v>
      </c>
      <c r="R389" s="373"/>
      <c r="S389" s="449"/>
      <c r="T389" s="373">
        <f t="shared" ref="T389:T390" si="500">T444</f>
        <v>0</v>
      </c>
      <c r="U389" s="373"/>
      <c r="V389" s="449"/>
      <c r="W389" s="373">
        <f t="shared" ref="W389:W390" si="501">W444</f>
        <v>0</v>
      </c>
      <c r="X389" s="373"/>
      <c r="Y389" s="449"/>
      <c r="Z389" s="373">
        <f t="shared" ref="Z389:Z390" si="502">Z444</f>
        <v>0</v>
      </c>
      <c r="AA389" s="373"/>
      <c r="AB389" s="449"/>
      <c r="AC389" s="373">
        <f t="shared" ref="AC389" si="503">AC444</f>
        <v>0</v>
      </c>
      <c r="AD389" s="373"/>
      <c r="AE389" s="449"/>
      <c r="AF389" s="373">
        <f t="shared" ref="AF389:AF394" si="504">AF444</f>
        <v>0</v>
      </c>
      <c r="AG389" s="373"/>
      <c r="AH389" s="449"/>
      <c r="AI389" s="69"/>
      <c r="AJ389" s="69"/>
      <c r="AK389" s="126"/>
      <c r="AL389" s="195"/>
      <c r="AM389" s="126"/>
      <c r="AN389" s="126"/>
      <c r="AO389" s="126"/>
      <c r="AP389" s="126"/>
      <c r="AQ389" s="126"/>
      <c r="AR389" s="126"/>
      <c r="AS389" s="126"/>
      <c r="AT389" s="126"/>
      <c r="AU389" s="126"/>
      <c r="AV389" s="126"/>
      <c r="AW389" s="126"/>
      <c r="AX389" s="126"/>
      <c r="AY389" s="126"/>
      <c r="AZ389" s="126"/>
    </row>
    <row r="390" spans="1:52">
      <c r="A390" s="126"/>
      <c r="B390" s="556">
        <v>84</v>
      </c>
      <c r="C390" s="49">
        <f>C445</f>
        <v>24</v>
      </c>
      <c r="D390" s="367" t="s">
        <v>89</v>
      </c>
      <c r="E390" s="367">
        <f t="shared" si="495"/>
        <v>14700</v>
      </c>
      <c r="F390" s="367"/>
      <c r="G390" s="449"/>
      <c r="H390" s="367">
        <f t="shared" si="496"/>
        <v>13500</v>
      </c>
      <c r="I390" s="367"/>
      <c r="J390" s="449"/>
      <c r="K390" s="367">
        <f t="shared" si="497"/>
        <v>11268</v>
      </c>
      <c r="L390" s="367"/>
      <c r="M390" s="449"/>
      <c r="N390" s="367">
        <f t="shared" si="498"/>
        <v>11268</v>
      </c>
      <c r="O390" s="367"/>
      <c r="P390" s="449"/>
      <c r="Q390" s="367">
        <f t="shared" si="499"/>
        <v>11268</v>
      </c>
      <c r="R390" s="367">
        <f>5634/12</f>
        <v>469.5</v>
      </c>
      <c r="S390" s="449"/>
      <c r="T390" s="367">
        <f t="shared" si="500"/>
        <v>10282</v>
      </c>
      <c r="U390" s="367"/>
      <c r="V390" s="449"/>
      <c r="W390" s="367">
        <f t="shared" si="501"/>
        <v>10282</v>
      </c>
      <c r="X390" s="367"/>
      <c r="Y390" s="449"/>
      <c r="Z390" s="367">
        <f t="shared" si="502"/>
        <v>7814</v>
      </c>
      <c r="AA390" s="367"/>
      <c r="AB390" s="449"/>
      <c r="AC390" s="367">
        <f t="shared" ref="AC390" si="505">AC445</f>
        <v>7814</v>
      </c>
      <c r="AD390" s="367"/>
      <c r="AE390" s="449"/>
      <c r="AF390" s="367">
        <f t="shared" si="504"/>
        <v>5660</v>
      </c>
      <c r="AG390" s="367"/>
      <c r="AH390" s="449"/>
      <c r="AI390" s="69"/>
      <c r="AJ390" s="69"/>
      <c r="AK390" s="126"/>
      <c r="AL390" s="195"/>
      <c r="AM390" s="126"/>
      <c r="AN390" s="126"/>
      <c r="AO390" s="126"/>
      <c r="AP390" s="126"/>
      <c r="AQ390" s="126"/>
      <c r="AR390" s="126"/>
      <c r="AS390" s="126"/>
      <c r="AT390" s="126"/>
      <c r="AU390" s="126"/>
      <c r="AV390" s="126"/>
      <c r="AW390" s="126"/>
      <c r="AX390" s="126"/>
      <c r="AY390" s="126"/>
      <c r="AZ390" s="126"/>
    </row>
    <row r="391" spans="1:52">
      <c r="A391" s="126"/>
      <c r="B391" s="794">
        <v>54</v>
      </c>
      <c r="C391" s="797">
        <f>C446</f>
        <v>24</v>
      </c>
      <c r="D391" s="796" t="s">
        <v>91</v>
      </c>
      <c r="E391" s="796">
        <f t="shared" si="495"/>
        <v>4500</v>
      </c>
      <c r="F391" s="796"/>
      <c r="G391" s="801"/>
      <c r="H391" s="796">
        <f t="shared" si="496"/>
        <v>4500</v>
      </c>
      <c r="I391" s="796"/>
      <c r="J391" s="801"/>
      <c r="K391" s="796">
        <f t="shared" si="497"/>
        <v>4500</v>
      </c>
      <c r="L391" s="796"/>
      <c r="M391" s="801"/>
      <c r="N391" s="796">
        <f t="shared" si="498"/>
        <v>4500</v>
      </c>
      <c r="O391" s="796"/>
      <c r="P391" s="801"/>
      <c r="Q391" s="796">
        <f t="shared" ref="Q391:Q394" si="506">Q446</f>
        <v>4500</v>
      </c>
      <c r="R391" s="367"/>
      <c r="S391" s="449"/>
      <c r="T391" s="367">
        <f t="shared" ref="T391:T394" si="507">T446</f>
        <v>4500</v>
      </c>
      <c r="U391" s="367"/>
      <c r="V391" s="449"/>
      <c r="W391" s="367">
        <f t="shared" ref="W391:W394" si="508">W446</f>
        <v>4500</v>
      </c>
      <c r="X391" s="367"/>
      <c r="Y391" s="449"/>
      <c r="Z391" s="367">
        <f t="shared" ref="Z391:Z394" si="509">Z446</f>
        <v>4500</v>
      </c>
      <c r="AA391" s="367"/>
      <c r="AB391" s="449"/>
      <c r="AC391" s="367">
        <f t="shared" ref="AC391" si="510">AC446</f>
        <v>4500</v>
      </c>
      <c r="AD391" s="367"/>
      <c r="AE391" s="449"/>
      <c r="AF391" s="367">
        <f t="shared" si="504"/>
        <v>4500</v>
      </c>
      <c r="AG391" s="367"/>
      <c r="AH391" s="449"/>
      <c r="AI391" s="69"/>
      <c r="AJ391" s="69"/>
      <c r="AK391" s="126"/>
      <c r="AL391" s="195"/>
      <c r="AM391" s="126"/>
      <c r="AN391" s="126"/>
      <c r="AO391" s="126"/>
      <c r="AP391" s="126"/>
      <c r="AQ391" s="126"/>
      <c r="AR391" s="126"/>
      <c r="AS391" s="126"/>
      <c r="AT391" s="126"/>
      <c r="AU391" s="126"/>
      <c r="AV391" s="126"/>
      <c r="AW391" s="126"/>
      <c r="AX391" s="126"/>
      <c r="AY391" s="126"/>
      <c r="AZ391" s="126"/>
    </row>
    <row r="392" spans="1:52">
      <c r="A392" s="126"/>
      <c r="B392" s="794">
        <v>64</v>
      </c>
      <c r="C392" s="797">
        <f>C447</f>
        <v>29.999994000001202</v>
      </c>
      <c r="D392" s="796" t="s">
        <v>91</v>
      </c>
      <c r="E392" s="367">
        <f t="shared" si="495"/>
        <v>5000</v>
      </c>
      <c r="F392" s="367"/>
      <c r="G392" s="450"/>
      <c r="H392" s="367">
        <f t="shared" si="496"/>
        <v>4000</v>
      </c>
      <c r="I392" s="367"/>
      <c r="J392" s="450"/>
      <c r="K392" s="367">
        <f t="shared" si="497"/>
        <v>0</v>
      </c>
      <c r="L392" s="367"/>
      <c r="M392" s="450"/>
      <c r="N392" s="367">
        <f t="shared" si="498"/>
        <v>0</v>
      </c>
      <c r="O392" s="367"/>
      <c r="P392" s="450"/>
      <c r="Q392" s="367">
        <f t="shared" si="506"/>
        <v>0</v>
      </c>
      <c r="R392" s="367"/>
      <c r="S392" s="450"/>
      <c r="T392" s="367">
        <f t="shared" si="507"/>
        <v>0</v>
      </c>
      <c r="U392" s="367"/>
      <c r="V392" s="450"/>
      <c r="W392" s="367">
        <f t="shared" si="508"/>
        <v>0</v>
      </c>
      <c r="X392" s="367"/>
      <c r="Y392" s="450"/>
      <c r="Z392" s="367">
        <f t="shared" si="509"/>
        <v>0</v>
      </c>
      <c r="AA392" s="367"/>
      <c r="AB392" s="450"/>
      <c r="AC392" s="367">
        <f t="shared" ref="AC392" si="511">AC447</f>
        <v>0</v>
      </c>
      <c r="AD392" s="367"/>
      <c r="AE392" s="450"/>
      <c r="AF392" s="367">
        <f t="shared" si="504"/>
        <v>0</v>
      </c>
      <c r="AG392" s="367"/>
      <c r="AH392" s="450"/>
      <c r="AI392" s="69"/>
      <c r="AJ392" s="69"/>
      <c r="AK392" s="126"/>
      <c r="AL392" s="195"/>
      <c r="AM392" s="126"/>
      <c r="AN392" s="126"/>
      <c r="AO392" s="126"/>
      <c r="AP392" s="126"/>
      <c r="AQ392" s="126"/>
      <c r="AR392" s="126"/>
      <c r="AS392" s="126"/>
      <c r="AT392" s="126"/>
      <c r="AU392" s="126"/>
      <c r="AV392" s="126"/>
      <c r="AW392" s="126"/>
      <c r="AX392" s="126"/>
      <c r="AY392" s="126"/>
      <c r="AZ392" s="126"/>
    </row>
    <row r="393" spans="1:52">
      <c r="A393" s="126"/>
      <c r="B393" s="567"/>
      <c r="C393" s="560"/>
      <c r="D393" s="367"/>
      <c r="E393" s="367">
        <f t="shared" si="495"/>
        <v>0</v>
      </c>
      <c r="F393" s="367"/>
      <c r="G393" s="450"/>
      <c r="H393" s="367">
        <f t="shared" si="496"/>
        <v>0</v>
      </c>
      <c r="I393" s="367"/>
      <c r="J393" s="450"/>
      <c r="K393" s="367">
        <f t="shared" si="497"/>
        <v>0</v>
      </c>
      <c r="L393" s="367"/>
      <c r="M393" s="450"/>
      <c r="N393" s="367">
        <f t="shared" si="498"/>
        <v>0</v>
      </c>
      <c r="O393" s="367"/>
      <c r="P393" s="450"/>
      <c r="Q393" s="367">
        <f t="shared" si="506"/>
        <v>0</v>
      </c>
      <c r="R393" s="367"/>
      <c r="S393" s="450"/>
      <c r="T393" s="367">
        <f t="shared" si="507"/>
        <v>0</v>
      </c>
      <c r="U393" s="367"/>
      <c r="V393" s="450"/>
      <c r="W393" s="367">
        <f t="shared" si="508"/>
        <v>0</v>
      </c>
      <c r="X393" s="367"/>
      <c r="Y393" s="450"/>
      <c r="Z393" s="367">
        <f t="shared" si="509"/>
        <v>0</v>
      </c>
      <c r="AA393" s="367"/>
      <c r="AB393" s="450"/>
      <c r="AC393" s="367">
        <f t="shared" ref="AC393" si="512">AC448</f>
        <v>0</v>
      </c>
      <c r="AD393" s="367"/>
      <c r="AE393" s="450"/>
      <c r="AF393" s="367">
        <f t="shared" si="504"/>
        <v>0</v>
      </c>
      <c r="AG393" s="367"/>
      <c r="AH393" s="450"/>
      <c r="AI393" s="69"/>
      <c r="AJ393" s="69"/>
      <c r="AK393" s="126"/>
      <c r="AL393" s="195"/>
      <c r="AM393" s="126"/>
      <c r="AN393" s="126"/>
      <c r="AO393" s="126"/>
      <c r="AP393" s="126"/>
      <c r="AQ393" s="126"/>
      <c r="AR393" s="126"/>
      <c r="AS393" s="126"/>
      <c r="AT393" s="126"/>
      <c r="AU393" s="126"/>
      <c r="AV393" s="126"/>
      <c r="AW393" s="126"/>
      <c r="AX393" s="126"/>
      <c r="AY393" s="126"/>
      <c r="AZ393" s="126"/>
    </row>
    <row r="394" spans="1:52">
      <c r="A394" s="126"/>
      <c r="B394" s="565"/>
      <c r="C394" s="574"/>
      <c r="D394" s="454" t="s">
        <v>128</v>
      </c>
      <c r="E394" s="454">
        <f t="shared" si="495"/>
        <v>342125.57506842603</v>
      </c>
      <c r="F394" s="454"/>
      <c r="G394" s="455"/>
      <c r="H394" s="454">
        <f t="shared" si="496"/>
        <v>331412.83082346141</v>
      </c>
      <c r="I394" s="454"/>
      <c r="J394" s="455"/>
      <c r="K394" s="454">
        <f t="shared" si="497"/>
        <v>325180.83082346141</v>
      </c>
      <c r="L394" s="454"/>
      <c r="M394" s="455"/>
      <c r="N394" s="454">
        <f t="shared" si="498"/>
        <v>296538.91366145399</v>
      </c>
      <c r="O394" s="454"/>
      <c r="P394" s="455"/>
      <c r="Q394" s="454">
        <f t="shared" si="506"/>
        <v>285400.12867768004</v>
      </c>
      <c r="R394" s="454"/>
      <c r="S394" s="455"/>
      <c r="T394" s="454">
        <f t="shared" si="507"/>
        <v>252589.74732381778</v>
      </c>
      <c r="U394" s="454"/>
      <c r="V394" s="455"/>
      <c r="W394" s="454">
        <f t="shared" si="508"/>
        <v>236422.95767637726</v>
      </c>
      <c r="X394" s="454"/>
      <c r="Y394" s="455"/>
      <c r="Z394" s="454">
        <f t="shared" si="509"/>
        <v>218042.7631414948</v>
      </c>
      <c r="AA394" s="454"/>
      <c r="AB394" s="455"/>
      <c r="AC394" s="454">
        <f t="shared" ref="AC394" si="513">AC449</f>
        <v>205185.70995730982</v>
      </c>
      <c r="AD394" s="454"/>
      <c r="AE394" s="455"/>
      <c r="AF394" s="454">
        <f t="shared" si="504"/>
        <v>169281.94534882423</v>
      </c>
      <c r="AG394" s="454"/>
      <c r="AH394" s="455"/>
      <c r="AI394" s="69"/>
      <c r="AJ394" s="69"/>
      <c r="AK394" s="126"/>
      <c r="AL394" s="195"/>
      <c r="AM394" s="126"/>
      <c r="AN394" s="126"/>
      <c r="AO394" s="126"/>
      <c r="AP394" s="126"/>
      <c r="AQ394" s="126"/>
      <c r="AR394" s="126"/>
      <c r="AS394" s="126"/>
      <c r="AT394" s="126"/>
      <c r="AU394" s="126"/>
      <c r="AV394" s="126"/>
      <c r="AW394" s="126"/>
      <c r="AX394" s="126"/>
      <c r="AY394" s="126"/>
      <c r="AZ394" s="126"/>
    </row>
    <row r="395" spans="1:52">
      <c r="A395" s="126"/>
      <c r="B395" s="556">
        <v>440</v>
      </c>
      <c r="C395" s="575"/>
      <c r="D395" s="367" t="s">
        <v>93</v>
      </c>
      <c r="E395" s="615">
        <v>0</v>
      </c>
      <c r="F395" s="367">
        <f t="shared" ref="F395" si="514">F450</f>
        <v>0</v>
      </c>
      <c r="G395" s="450"/>
      <c r="H395" s="615">
        <v>0</v>
      </c>
      <c r="I395" s="367">
        <f t="shared" ref="I395" si="515">I450</f>
        <v>0</v>
      </c>
      <c r="J395" s="450"/>
      <c r="K395" s="615">
        <v>0</v>
      </c>
      <c r="L395" s="367">
        <f t="shared" ref="L395" si="516">L450</f>
        <v>0</v>
      </c>
      <c r="M395" s="450"/>
      <c r="N395" s="615">
        <v>0</v>
      </c>
      <c r="O395" s="367">
        <f t="shared" ref="O395" si="517">O450</f>
        <v>0</v>
      </c>
      <c r="P395" s="450"/>
      <c r="Q395" s="615">
        <v>0</v>
      </c>
      <c r="R395" s="367">
        <f t="shared" ref="R395" si="518">R450</f>
        <v>0</v>
      </c>
      <c r="S395" s="450"/>
      <c r="T395" s="615">
        <v>0</v>
      </c>
      <c r="U395" s="367">
        <f t="shared" ref="U395" si="519">U450</f>
        <v>0</v>
      </c>
      <c r="V395" s="450"/>
      <c r="W395" s="453">
        <v>0</v>
      </c>
      <c r="X395" s="367">
        <f t="shared" ref="X395" si="520">X450</f>
        <v>0</v>
      </c>
      <c r="Y395" s="450"/>
      <c r="Z395" s="453">
        <v>0</v>
      </c>
      <c r="AA395" s="367">
        <f t="shared" ref="AA395" si="521">AA450</f>
        <v>0</v>
      </c>
      <c r="AB395" s="450"/>
      <c r="AC395" s="453">
        <v>0</v>
      </c>
      <c r="AD395" s="367">
        <f t="shared" ref="AD395" si="522">AD450</f>
        <v>0</v>
      </c>
      <c r="AE395" s="450"/>
      <c r="AF395" s="453">
        <v>0</v>
      </c>
      <c r="AG395" s="367">
        <f t="shared" ref="AG395:AG400" si="523">AG450</f>
        <v>0</v>
      </c>
      <c r="AH395" s="450"/>
      <c r="AI395" s="69"/>
      <c r="AJ395" s="69"/>
      <c r="AK395" s="126"/>
      <c r="AL395" s="195"/>
      <c r="AM395" s="126"/>
      <c r="AN395" s="126"/>
      <c r="AO395" s="126"/>
      <c r="AP395" s="126"/>
      <c r="AQ395" s="126"/>
      <c r="AR395" s="126"/>
      <c r="AS395" s="126"/>
      <c r="AT395" s="126"/>
      <c r="AU395" s="126"/>
      <c r="AV395" s="126"/>
      <c r="AW395" s="126"/>
      <c r="AX395" s="126"/>
      <c r="AY395" s="126"/>
      <c r="AZ395" s="126"/>
    </row>
    <row r="396" spans="1:52">
      <c r="A396" s="126"/>
      <c r="B396" s="565">
        <v>502</v>
      </c>
      <c r="C396" s="644">
        <v>0.16</v>
      </c>
      <c r="D396" s="368" t="s">
        <v>129</v>
      </c>
      <c r="E396" s="368"/>
      <c r="F396" s="208">
        <f>F451</f>
        <v>-50868.092010948167</v>
      </c>
      <c r="G396" s="456"/>
      <c r="H396" s="368"/>
      <c r="I396" s="208">
        <f>I451</f>
        <v>-49506.052931753824</v>
      </c>
      <c r="J396" s="456"/>
      <c r="K396" s="368"/>
      <c r="L396" s="208">
        <f>L451</f>
        <v>-49506.052931753824</v>
      </c>
      <c r="M396" s="456"/>
      <c r="N396" s="368"/>
      <c r="O396" s="208">
        <f>O451</f>
        <v>-44923.346185832641</v>
      </c>
      <c r="P396" s="456"/>
      <c r="Q396" s="368"/>
      <c r="R396" s="208">
        <f>R451</f>
        <v>-43141.140588428811</v>
      </c>
      <c r="S396" s="456"/>
      <c r="T396" s="368"/>
      <c r="U396" s="208">
        <f>U451</f>
        <v>-38049.239571810846</v>
      </c>
      <c r="V396" s="456"/>
      <c r="W396" s="368"/>
      <c r="X396" s="208">
        <f>X451</f>
        <v>-35462.553228220364</v>
      </c>
      <c r="Y396" s="456"/>
      <c r="Z396" s="368"/>
      <c r="AA396" s="208">
        <f>AA451</f>
        <v>-32916.602102639175</v>
      </c>
      <c r="AB396" s="456"/>
      <c r="AC396" s="368"/>
      <c r="AD396" s="208">
        <f>AD451</f>
        <v>-30859.473593169572</v>
      </c>
      <c r="AE396" s="456"/>
      <c r="AF396" s="368"/>
      <c r="AG396" s="208">
        <f t="shared" si="523"/>
        <v>-25459.511255811878</v>
      </c>
      <c r="AH396" s="456"/>
      <c r="AI396" s="69"/>
      <c r="AJ396" s="69"/>
      <c r="AK396" s="126"/>
      <c r="AL396" s="195"/>
      <c r="AM396" s="126"/>
      <c r="AN396" s="126"/>
      <c r="AO396" s="126"/>
      <c r="AP396" s="126"/>
      <c r="AQ396" s="126"/>
      <c r="AR396" s="126"/>
      <c r="AS396" s="126"/>
      <c r="AT396" s="126"/>
      <c r="AU396" s="126"/>
      <c r="AV396" s="126"/>
      <c r="AW396" s="126"/>
      <c r="AX396" s="126"/>
      <c r="AY396" s="126"/>
      <c r="AZ396" s="126"/>
    </row>
    <row r="397" spans="1:52">
      <c r="A397" s="126"/>
      <c r="B397" s="565">
        <v>505</v>
      </c>
      <c r="C397" s="565">
        <v>0.03</v>
      </c>
      <c r="D397" s="368" t="s">
        <v>130</v>
      </c>
      <c r="E397" s="368"/>
      <c r="F397" s="208">
        <f>F452</f>
        <v>-9537.7672520527813</v>
      </c>
      <c r="G397" s="456"/>
      <c r="H397" s="368"/>
      <c r="I397" s="208">
        <f>I452</f>
        <v>-9282.3849247038415</v>
      </c>
      <c r="J397" s="456"/>
      <c r="K397" s="368"/>
      <c r="L397" s="208">
        <f>L452</f>
        <v>-9282.3849247038415</v>
      </c>
      <c r="M397" s="456"/>
      <c r="N397" s="368"/>
      <c r="O397" s="208">
        <f>O452</f>
        <v>-8423.1274098436188</v>
      </c>
      <c r="P397" s="456"/>
      <c r="Q397" s="368"/>
      <c r="R397" s="208">
        <f>R452</f>
        <v>-8088.9638603304011</v>
      </c>
      <c r="S397" s="456"/>
      <c r="T397" s="368"/>
      <c r="U397" s="208">
        <f>U452</f>
        <v>-7134.2324197145326</v>
      </c>
      <c r="V397" s="456"/>
      <c r="W397" s="368"/>
      <c r="X397" s="208">
        <f>X452</f>
        <v>-6649.2287302913173</v>
      </c>
      <c r="Y397" s="456"/>
      <c r="Z397" s="368"/>
      <c r="AA397" s="208">
        <f>AA452</f>
        <v>-6171.8628942448449</v>
      </c>
      <c r="AB397" s="456"/>
      <c r="AC397" s="368"/>
      <c r="AD397" s="208">
        <f>AD452</f>
        <v>-5786.1512987192946</v>
      </c>
      <c r="AE397" s="456"/>
      <c r="AF397" s="368"/>
      <c r="AG397" s="208">
        <f t="shared" si="523"/>
        <v>-4773.6583604647267</v>
      </c>
      <c r="AH397" s="456"/>
      <c r="AI397" s="69"/>
      <c r="AJ397" s="69"/>
      <c r="AK397" s="126"/>
      <c r="AL397" s="195"/>
      <c r="AM397" s="126"/>
      <c r="AN397" s="126"/>
      <c r="AO397" s="126"/>
      <c r="AP397" s="126"/>
      <c r="AQ397" s="126"/>
      <c r="AR397" s="126"/>
      <c r="AS397" s="126"/>
      <c r="AT397" s="126"/>
      <c r="AU397" s="126"/>
      <c r="AV397" s="126"/>
      <c r="AW397" s="126"/>
      <c r="AX397" s="126"/>
      <c r="AY397" s="126"/>
      <c r="AZ397" s="126"/>
    </row>
    <row r="398" spans="1:52">
      <c r="A398" s="126"/>
      <c r="B398" s="576">
        <v>332</v>
      </c>
      <c r="C398" s="599">
        <v>0</v>
      </c>
      <c r="D398" s="370" t="s">
        <v>97</v>
      </c>
      <c r="E398" s="370"/>
      <c r="F398" s="366">
        <f>F453</f>
        <v>0</v>
      </c>
      <c r="G398" s="457"/>
      <c r="H398" s="370"/>
      <c r="I398" s="366">
        <f>I453</f>
        <v>0</v>
      </c>
      <c r="J398" s="457"/>
      <c r="K398" s="370"/>
      <c r="L398" s="366">
        <f>L453</f>
        <v>0</v>
      </c>
      <c r="M398" s="457"/>
      <c r="N398" s="370"/>
      <c r="O398" s="366">
        <f>O453</f>
        <v>0</v>
      </c>
      <c r="P398" s="457"/>
      <c r="Q398" s="370"/>
      <c r="R398" s="366">
        <f>R453</f>
        <v>0</v>
      </c>
      <c r="S398" s="457"/>
      <c r="T398" s="370"/>
      <c r="U398" s="366">
        <f>U453</f>
        <v>0</v>
      </c>
      <c r="V398" s="457"/>
      <c r="W398" s="370"/>
      <c r="X398" s="366">
        <f>X453</f>
        <v>0</v>
      </c>
      <c r="Y398" s="457"/>
      <c r="Z398" s="370"/>
      <c r="AA398" s="366">
        <f>AA453</f>
        <v>0</v>
      </c>
      <c r="AB398" s="457"/>
      <c r="AC398" s="370"/>
      <c r="AD398" s="366">
        <f>AD453</f>
        <v>0</v>
      </c>
      <c r="AE398" s="457"/>
      <c r="AF398" s="370"/>
      <c r="AG398" s="366">
        <f t="shared" si="523"/>
        <v>0</v>
      </c>
      <c r="AH398" s="457"/>
      <c r="AI398" s="69"/>
      <c r="AJ398" s="69"/>
      <c r="AK398" s="126"/>
      <c r="AL398" s="195"/>
      <c r="AM398" s="126"/>
      <c r="AN398" s="126"/>
      <c r="AO398" s="126"/>
      <c r="AP398" s="126"/>
      <c r="AQ398" s="126"/>
      <c r="AR398" s="126"/>
      <c r="AS398" s="126"/>
      <c r="AT398" s="126"/>
      <c r="AU398" s="126"/>
      <c r="AV398" s="126"/>
      <c r="AW398" s="126"/>
      <c r="AX398" s="126"/>
      <c r="AY398" s="126"/>
      <c r="AZ398" s="126"/>
    </row>
    <row r="399" spans="1:52">
      <c r="A399" s="126"/>
      <c r="B399" s="569" t="s">
        <v>98</v>
      </c>
      <c r="C399" s="594">
        <v>0</v>
      </c>
      <c r="D399" s="373"/>
      <c r="E399" s="373"/>
      <c r="F399" s="373">
        <f>F454</f>
        <v>0</v>
      </c>
      <c r="G399" s="449"/>
      <c r="H399" s="373"/>
      <c r="I399" s="373">
        <f>I454</f>
        <v>0</v>
      </c>
      <c r="J399" s="449"/>
      <c r="K399" s="373"/>
      <c r="L399" s="373">
        <f>L454</f>
        <v>0</v>
      </c>
      <c r="M399" s="449"/>
      <c r="N399" s="373"/>
      <c r="O399" s="373">
        <f>O454</f>
        <v>0</v>
      </c>
      <c r="P399" s="449"/>
      <c r="Q399" s="373"/>
      <c r="R399" s="373">
        <f>R454</f>
        <v>0</v>
      </c>
      <c r="S399" s="449"/>
      <c r="T399" s="373"/>
      <c r="U399" s="373">
        <f>U454</f>
        <v>0</v>
      </c>
      <c r="V399" s="449"/>
      <c r="W399" s="373"/>
      <c r="X399" s="373">
        <f>X454</f>
        <v>0</v>
      </c>
      <c r="Y399" s="449"/>
      <c r="Z399" s="373"/>
      <c r="AA399" s="373">
        <f>AA454</f>
        <v>0</v>
      </c>
      <c r="AB399" s="449"/>
      <c r="AC399" s="373"/>
      <c r="AD399" s="373">
        <f>AD454</f>
        <v>0</v>
      </c>
      <c r="AE399" s="449"/>
      <c r="AF399" s="373"/>
      <c r="AG399" s="373">
        <f t="shared" si="523"/>
        <v>0</v>
      </c>
      <c r="AH399" s="449"/>
      <c r="AI399" s="69"/>
      <c r="AJ399" s="69"/>
      <c r="AK399" s="126"/>
      <c r="AL399" s="195"/>
      <c r="AM399" s="126"/>
      <c r="AN399" s="126"/>
      <c r="AO399" s="126"/>
      <c r="AP399" s="126"/>
      <c r="AQ399" s="126"/>
      <c r="AR399" s="126"/>
      <c r="AS399" s="126"/>
      <c r="AT399" s="126"/>
      <c r="AU399" s="126"/>
      <c r="AV399" s="126"/>
      <c r="AW399" s="126"/>
      <c r="AX399" s="126"/>
      <c r="AY399" s="126"/>
      <c r="AZ399" s="126"/>
    </row>
    <row r="400" spans="1:52">
      <c r="A400" s="126"/>
      <c r="B400" s="458"/>
      <c r="C400" s="458"/>
      <c r="D400" s="459" t="s">
        <v>99</v>
      </c>
      <c r="E400" s="459"/>
      <c r="F400" s="459">
        <f>F455</f>
        <v>-60405.859263000952</v>
      </c>
      <c r="G400" s="460"/>
      <c r="H400" s="459"/>
      <c r="I400" s="459">
        <f>I455</f>
        <v>-58788.437856457662</v>
      </c>
      <c r="J400" s="460"/>
      <c r="K400" s="459"/>
      <c r="L400" s="459">
        <f>L455</f>
        <v>-58788.437856457662</v>
      </c>
      <c r="M400" s="460"/>
      <c r="N400" s="459"/>
      <c r="O400" s="459">
        <f>O455</f>
        <v>-53346.47359567626</v>
      </c>
      <c r="P400" s="460"/>
      <c r="Q400" s="459"/>
      <c r="R400" s="459">
        <f>R455</f>
        <v>-51230.104448759215</v>
      </c>
      <c r="S400" s="460"/>
      <c r="T400" s="459"/>
      <c r="U400" s="459">
        <f>U455</f>
        <v>-45183.471991525381</v>
      </c>
      <c r="V400" s="460"/>
      <c r="W400" s="459"/>
      <c r="X400" s="459">
        <f>X455</f>
        <v>-42111.781958511681</v>
      </c>
      <c r="Y400" s="460"/>
      <c r="Z400" s="459"/>
      <c r="AA400" s="459">
        <f>AA455</f>
        <v>-39088.464996884024</v>
      </c>
      <c r="AB400" s="460"/>
      <c r="AC400" s="459"/>
      <c r="AD400" s="459">
        <f>AD455</f>
        <v>-36645.624891888867</v>
      </c>
      <c r="AE400" s="460"/>
      <c r="AF400" s="459"/>
      <c r="AG400" s="459">
        <f t="shared" si="523"/>
        <v>-30233.169616276606</v>
      </c>
      <c r="AH400" s="460"/>
      <c r="AI400" s="69"/>
      <c r="AJ400" s="69"/>
      <c r="AK400" s="126"/>
      <c r="AL400" s="195"/>
      <c r="AM400" s="126"/>
      <c r="AN400" s="126"/>
      <c r="AO400" s="126"/>
      <c r="AP400" s="126"/>
      <c r="AQ400" s="126"/>
      <c r="AR400" s="126"/>
      <c r="AS400" s="126"/>
      <c r="AT400" s="126"/>
      <c r="AU400" s="126"/>
      <c r="AV400" s="126"/>
      <c r="AW400" s="126"/>
      <c r="AX400" s="126"/>
      <c r="AY400" s="126"/>
      <c r="AZ400" s="126"/>
    </row>
    <row r="401" spans="1:52">
      <c r="A401" s="126"/>
      <c r="B401" s="461"/>
      <c r="C401" s="461"/>
      <c r="D401" s="461"/>
      <c r="E401" s="461"/>
      <c r="F401" s="461"/>
      <c r="G401" s="462"/>
      <c r="H401" s="461"/>
      <c r="I401" s="461"/>
      <c r="J401" s="462"/>
      <c r="K401" s="461"/>
      <c r="L401" s="461"/>
      <c r="M401" s="462"/>
      <c r="N401" s="461"/>
      <c r="O401" s="461"/>
      <c r="P401" s="462"/>
      <c r="Q401" s="461"/>
      <c r="R401" s="461"/>
      <c r="S401" s="462"/>
      <c r="T401" s="461"/>
      <c r="U401" s="461"/>
      <c r="V401" s="462"/>
      <c r="W401" s="461"/>
      <c r="X401" s="461"/>
      <c r="Y401" s="462"/>
      <c r="Z401" s="461"/>
      <c r="AA401" s="461"/>
      <c r="AB401" s="462"/>
      <c r="AC401" s="461"/>
      <c r="AD401" s="461"/>
      <c r="AE401" s="462"/>
      <c r="AF401" s="461"/>
      <c r="AG401" s="461"/>
      <c r="AH401" s="462"/>
      <c r="AI401" s="69"/>
      <c r="AJ401" s="126"/>
      <c r="AK401" s="195"/>
      <c r="AL401" s="126"/>
      <c r="AM401" s="126"/>
      <c r="AN401" s="126"/>
      <c r="AO401" s="126"/>
      <c r="AP401" s="126"/>
      <c r="AQ401" s="126"/>
      <c r="AR401" s="126"/>
      <c r="AS401" s="126"/>
      <c r="AT401" s="126"/>
      <c r="AU401" s="126"/>
      <c r="AV401" s="126"/>
      <c r="AW401" s="126"/>
      <c r="AX401" s="126"/>
      <c r="AY401" s="126"/>
    </row>
    <row r="402" spans="1:52">
      <c r="A402" s="126"/>
      <c r="B402" s="251"/>
      <c r="C402" s="61"/>
      <c r="D402" s="69"/>
      <c r="E402" s="387" t="str">
        <f t="shared" ref="E402:F402" si="524">E457</f>
        <v>Sueldo líquido</v>
      </c>
      <c r="F402" s="697">
        <f t="shared" si="524"/>
        <v>281719.71580542508</v>
      </c>
      <c r="G402" s="394"/>
      <c r="H402" s="387" t="str">
        <f t="shared" ref="H402:I402" si="525">H457</f>
        <v>Sueldo líquido</v>
      </c>
      <c r="I402" s="697">
        <f t="shared" si="525"/>
        <v>272624.39296700375</v>
      </c>
      <c r="J402" s="394"/>
      <c r="K402" s="387" t="str">
        <f t="shared" ref="K402:L402" si="526">K457</f>
        <v>Sueldo líquido</v>
      </c>
      <c r="L402" s="697">
        <f t="shared" si="526"/>
        <v>266392.39296700375</v>
      </c>
      <c r="M402" s="394"/>
      <c r="N402" s="387" t="str">
        <f t="shared" ref="N402:O402" si="527">N457</f>
        <v>Sueldo líquido</v>
      </c>
      <c r="O402" s="697">
        <f t="shared" si="527"/>
        <v>243192.44006577774</v>
      </c>
      <c r="P402" s="394"/>
      <c r="Q402" s="387" t="str">
        <f t="shared" ref="Q402:R402" si="528">Q457</f>
        <v>Sueldo líquido</v>
      </c>
      <c r="R402" s="697">
        <f t="shared" si="528"/>
        <v>234170.02422892081</v>
      </c>
      <c r="S402" s="394"/>
      <c r="T402" s="387" t="str">
        <f t="shared" ref="T402:U402" si="529">T457</f>
        <v>Sueldo líquido</v>
      </c>
      <c r="U402" s="697">
        <f t="shared" si="529"/>
        <v>207406.2753322924</v>
      </c>
      <c r="V402" s="394"/>
      <c r="W402" s="387" t="str">
        <f t="shared" ref="W402:X402" si="530">W457</f>
        <v>Sueldo líquido</v>
      </c>
      <c r="X402" s="697">
        <f t="shared" si="530"/>
        <v>194311.17571786558</v>
      </c>
      <c r="Y402" s="394"/>
      <c r="Z402" s="387" t="str">
        <f t="shared" ref="Z402:AA402" si="531">Z457</f>
        <v>Sueldo líquido</v>
      </c>
      <c r="AA402" s="697">
        <f t="shared" si="531"/>
        <v>178954.29814461077</v>
      </c>
      <c r="AB402" s="394"/>
      <c r="AC402" s="387" t="str">
        <f t="shared" ref="AC402:AD402" si="532">AC457</f>
        <v>Sueldo líquido</v>
      </c>
      <c r="AD402" s="697">
        <f t="shared" si="532"/>
        <v>168540.08506542095</v>
      </c>
      <c r="AE402" s="394"/>
      <c r="AF402" s="387" t="str">
        <f t="shared" ref="AF402:AG402" si="533">AF457</f>
        <v>Sueldo líquido</v>
      </c>
      <c r="AG402" s="697">
        <f t="shared" si="533"/>
        <v>139048.77573254763</v>
      </c>
      <c r="AH402" s="394"/>
      <c r="AI402" s="69"/>
      <c r="AJ402" s="69"/>
      <c r="AK402" s="126"/>
      <c r="AL402" s="195"/>
      <c r="AM402" s="126"/>
      <c r="AN402" s="126"/>
      <c r="AO402" s="126"/>
      <c r="AP402" s="126"/>
      <c r="AQ402" s="126"/>
      <c r="AR402" s="126"/>
      <c r="AS402" s="126"/>
      <c r="AT402" s="126"/>
      <c r="AU402" s="126"/>
      <c r="AV402" s="126"/>
      <c r="AW402" s="126"/>
      <c r="AX402" s="126"/>
      <c r="AY402" s="126"/>
      <c r="AZ402" s="126"/>
    </row>
    <row r="403" spans="1:52" ht="16.5" thickBot="1">
      <c r="A403" s="126"/>
      <c r="B403" s="251"/>
      <c r="C403" s="61"/>
      <c r="D403" s="69"/>
      <c r="E403" s="222"/>
      <c r="F403" s="616"/>
      <c r="G403" s="394"/>
      <c r="H403" s="222"/>
      <c r="I403" s="616"/>
      <c r="J403" s="394"/>
      <c r="K403" s="222"/>
      <c r="L403" s="616"/>
      <c r="M403" s="394"/>
      <c r="N403" s="222"/>
      <c r="O403" s="616"/>
      <c r="P403" s="394"/>
      <c r="Q403" s="222"/>
      <c r="R403" s="616"/>
      <c r="S403" s="394"/>
      <c r="T403" s="222"/>
      <c r="U403" s="616"/>
      <c r="V403" s="394"/>
      <c r="W403" s="222"/>
      <c r="X403" s="222"/>
      <c r="Y403" s="394"/>
      <c r="Z403" s="222"/>
      <c r="AA403" s="222"/>
      <c r="AB403" s="394"/>
      <c r="AC403" s="222"/>
      <c r="AD403" s="222"/>
      <c r="AE403" s="394"/>
      <c r="AF403" s="222"/>
      <c r="AG403" s="222"/>
      <c r="AH403" s="394"/>
      <c r="AI403" s="69"/>
      <c r="AJ403" s="69"/>
      <c r="AK403" s="126"/>
      <c r="AL403" s="195"/>
      <c r="AM403" s="126"/>
      <c r="AN403" s="126"/>
      <c r="AO403" s="126"/>
      <c r="AP403" s="126"/>
      <c r="AQ403" s="126"/>
      <c r="AR403" s="126"/>
      <c r="AS403" s="126"/>
      <c r="AT403" s="126"/>
      <c r="AU403" s="126"/>
      <c r="AV403" s="126"/>
      <c r="AW403" s="126"/>
      <c r="AX403" s="126"/>
      <c r="AY403" s="126"/>
      <c r="AZ403" s="126"/>
    </row>
    <row r="404" spans="1:52">
      <c r="A404" s="126"/>
      <c r="B404" s="251"/>
      <c r="C404" s="61"/>
      <c r="D404" s="69"/>
      <c r="E404" s="218" t="str">
        <f t="shared" ref="E404:F404" si="534">E459</f>
        <v>Aumento del mes</v>
      </c>
      <c r="F404" s="698">
        <f t="shared" si="534"/>
        <v>9095.3228384213289</v>
      </c>
      <c r="G404" s="394"/>
      <c r="H404" s="218" t="str">
        <f t="shared" ref="H404:I404" si="535">H459</f>
        <v>Aumento del mes</v>
      </c>
      <c r="I404" s="698">
        <f t="shared" si="535"/>
        <v>6232</v>
      </c>
      <c r="J404" s="394"/>
      <c r="K404" s="218" t="str">
        <f t="shared" ref="K404:L404" si="536">K459</f>
        <v>Aumento del mes</v>
      </c>
      <c r="L404" s="698">
        <f t="shared" si="536"/>
        <v>23199.952901226003</v>
      </c>
      <c r="M404" s="394"/>
      <c r="N404" s="218" t="str">
        <f t="shared" ref="N404:O404" si="537">N459</f>
        <v>Aumento del mes</v>
      </c>
      <c r="O404" s="698">
        <f t="shared" si="537"/>
        <v>9022.4158368569333</v>
      </c>
      <c r="P404" s="394"/>
      <c r="Q404" s="218" t="str">
        <f t="shared" ref="Q404:R404" si="538">Q459</f>
        <v>Aumento del mes</v>
      </c>
      <c r="R404" s="698">
        <f t="shared" si="538"/>
        <v>26763.748896628415</v>
      </c>
      <c r="S404" s="394"/>
      <c r="T404" s="218" t="str">
        <f t="shared" ref="T404:U404" si="539">T459</f>
        <v>Aumento del mes</v>
      </c>
      <c r="U404" s="698">
        <f t="shared" si="539"/>
        <v>13095.099614426814</v>
      </c>
      <c r="V404" s="394"/>
      <c r="W404" s="218" t="str">
        <f t="shared" ref="W404:X404" si="540">W459</f>
        <v>Aumento del mes</v>
      </c>
      <c r="X404" s="698">
        <f t="shared" si="540"/>
        <v>15356.877573254809</v>
      </c>
      <c r="Y404" s="394"/>
      <c r="Z404" s="218" t="str">
        <f t="shared" ref="Z404:AA404" si="541">Z459</f>
        <v>Aumento del mes</v>
      </c>
      <c r="AA404" s="698">
        <f t="shared" si="541"/>
        <v>10414.213079189823</v>
      </c>
      <c r="AB404" s="394"/>
      <c r="AC404" s="218" t="str">
        <f t="shared" ref="AC404:AD404" si="542">AC459</f>
        <v>Aumento del mes</v>
      </c>
      <c r="AD404" s="698">
        <f t="shared" si="542"/>
        <v>29491.309332873323</v>
      </c>
      <c r="AE404" s="394"/>
      <c r="AF404" s="218"/>
      <c r="AG404" s="463"/>
      <c r="AH404" s="394"/>
      <c r="AI404" s="69"/>
      <c r="AJ404" s="69"/>
      <c r="AK404" s="126"/>
      <c r="AL404" s="195"/>
      <c r="AM404" s="126"/>
      <c r="AN404" s="126"/>
      <c r="AO404" s="126"/>
      <c r="AP404" s="126"/>
      <c r="AQ404" s="126"/>
      <c r="AR404" s="126"/>
      <c r="AS404" s="126"/>
      <c r="AT404" s="126"/>
      <c r="AU404" s="126"/>
      <c r="AV404" s="126"/>
      <c r="AW404" s="126"/>
      <c r="AX404" s="126"/>
      <c r="AY404" s="126"/>
      <c r="AZ404" s="126"/>
    </row>
    <row r="405" spans="1:52" ht="16.5" thickBot="1">
      <c r="A405" s="126"/>
      <c r="B405" s="251"/>
      <c r="C405" s="61"/>
      <c r="D405" s="69"/>
      <c r="E405" s="220" t="str">
        <f t="shared" ref="E405:F405" si="543">E460</f>
        <v>Porc resp a anterior</v>
      </c>
      <c r="F405" s="582">
        <f t="shared" si="543"/>
        <v>3.3362102119461313E-2</v>
      </c>
      <c r="G405" s="394"/>
      <c r="H405" s="220" t="str">
        <f t="shared" ref="H405:I405" si="544">H460</f>
        <v>Porc resp a anterior</v>
      </c>
      <c r="I405" s="582">
        <f t="shared" si="544"/>
        <v>2.3394061409148108E-2</v>
      </c>
      <c r="J405" s="394"/>
      <c r="K405" s="220" t="str">
        <f t="shared" ref="K405:L405" si="545">K460</f>
        <v>Porc resp a anterior</v>
      </c>
      <c r="L405" s="582">
        <f t="shared" si="545"/>
        <v>9.5397508635346434E-2</v>
      </c>
      <c r="M405" s="394"/>
      <c r="N405" s="220" t="str">
        <f t="shared" ref="N405:O405" si="546">N460</f>
        <v>Porc resp a anterior</v>
      </c>
      <c r="O405" s="582">
        <f t="shared" si="546"/>
        <v>3.8529337247865537E-2</v>
      </c>
      <c r="P405" s="394"/>
      <c r="Q405" s="220" t="str">
        <f t="shared" ref="Q405:R405" si="547">Q460</f>
        <v>Porc resp a anterior</v>
      </c>
      <c r="R405" s="582">
        <f t="shared" si="547"/>
        <v>0.12904020793849816</v>
      </c>
      <c r="S405" s="394"/>
      <c r="T405" s="220" t="str">
        <f t="shared" ref="T405:U405" si="548">T460</f>
        <v>Porc resp a anterior</v>
      </c>
      <c r="U405" s="582">
        <f t="shared" si="548"/>
        <v>6.7392416138948863E-2</v>
      </c>
      <c r="V405" s="394"/>
      <c r="W405" s="220" t="str">
        <f t="shared" ref="W405:X405" si="549">W460</f>
        <v>Porc resp a anterior</v>
      </c>
      <c r="X405" s="582">
        <f t="shared" si="549"/>
        <v>8.5814522101308258E-2</v>
      </c>
      <c r="Y405" s="394"/>
      <c r="Z405" s="220" t="str">
        <f t="shared" ref="Z405:AA405" si="550">Z460</f>
        <v>Porc resp a anterior</v>
      </c>
      <c r="AA405" s="582">
        <f t="shared" si="550"/>
        <v>6.1790719253211578E-2</v>
      </c>
      <c r="AB405" s="394"/>
      <c r="AC405" s="220" t="str">
        <f t="shared" ref="AC405:AD405" si="551">AC460</f>
        <v>Porc resp a anterior</v>
      </c>
      <c r="AD405" s="582">
        <f t="shared" si="551"/>
        <v>0.2120932685491469</v>
      </c>
      <c r="AE405" s="394"/>
      <c r="AF405" s="220"/>
      <c r="AG405" s="464"/>
      <c r="AH405" s="394"/>
      <c r="AI405" s="69"/>
      <c r="AJ405" s="69"/>
      <c r="AK405" s="126"/>
      <c r="AL405" s="195"/>
      <c r="AM405" s="126"/>
      <c r="AN405" s="126"/>
      <c r="AO405" s="126"/>
      <c r="AP405" s="126"/>
      <c r="AQ405" s="126"/>
      <c r="AR405" s="126"/>
      <c r="AS405" s="126"/>
      <c r="AT405" s="126"/>
      <c r="AU405" s="126"/>
      <c r="AV405" s="126"/>
      <c r="AW405" s="126"/>
      <c r="AX405" s="126"/>
      <c r="AY405" s="126"/>
      <c r="AZ405" s="126"/>
    </row>
    <row r="406" spans="1:52" ht="16.5" thickBot="1">
      <c r="A406" s="126"/>
      <c r="B406" s="61"/>
      <c r="C406" s="606"/>
      <c r="D406" s="717"/>
      <c r="E406" s="222"/>
      <c r="F406" s="222"/>
      <c r="G406" s="214"/>
      <c r="H406" s="222"/>
      <c r="I406" s="222"/>
      <c r="J406" s="214"/>
      <c r="K406" s="222"/>
      <c r="L406" s="222"/>
      <c r="M406" s="214"/>
      <c r="N406" s="222"/>
      <c r="O406" s="222"/>
      <c r="P406" s="214"/>
      <c r="Q406" s="222"/>
      <c r="R406" s="222"/>
      <c r="S406" s="214"/>
      <c r="T406" s="222"/>
      <c r="U406" s="222"/>
      <c r="V406" s="214"/>
      <c r="W406" s="222"/>
      <c r="X406" s="222"/>
      <c r="Y406" s="214"/>
      <c r="Z406" s="222"/>
      <c r="AA406" s="222"/>
      <c r="AB406" s="214"/>
      <c r="AC406" s="222"/>
      <c r="AD406" s="222"/>
      <c r="AE406" s="214"/>
      <c r="AF406" s="222"/>
      <c r="AG406" s="222"/>
      <c r="AH406" s="214"/>
      <c r="AI406" s="69"/>
      <c r="AJ406" s="69"/>
      <c r="AK406" s="126"/>
      <c r="AL406" s="195"/>
      <c r="AM406" s="126"/>
      <c r="AN406" s="126"/>
      <c r="AO406" s="126"/>
      <c r="AP406" s="126"/>
      <c r="AQ406" s="126"/>
      <c r="AR406" s="126"/>
      <c r="AS406" s="126"/>
      <c r="AT406" s="126"/>
      <c r="AU406" s="126"/>
      <c r="AV406" s="126"/>
      <c r="AW406" s="126"/>
      <c r="AX406" s="126"/>
      <c r="AY406" s="126"/>
      <c r="AZ406" s="126"/>
    </row>
    <row r="407" spans="1:52">
      <c r="A407" s="126"/>
      <c r="B407" s="133"/>
      <c r="C407" s="643"/>
      <c r="D407" s="718"/>
      <c r="E407" s="723" t="str">
        <f>E462</f>
        <v>Aumento acumulado</v>
      </c>
      <c r="F407" s="699">
        <f>F462</f>
        <v>142670.94007287745</v>
      </c>
      <c r="G407" s="396"/>
      <c r="H407" s="723" t="str">
        <f>H462</f>
        <v>Aumento acumulado</v>
      </c>
      <c r="I407" s="699">
        <f>I462</f>
        <v>133575.61723445612</v>
      </c>
      <c r="J407" s="396"/>
      <c r="K407" s="723" t="str">
        <f>K462</f>
        <v>Aumento acumulado</v>
      </c>
      <c r="L407" s="699">
        <f>L462</f>
        <v>127343.61723445612</v>
      </c>
      <c r="M407" s="396"/>
      <c r="N407" s="224" t="str">
        <f>N462</f>
        <v>Aumento acumulado</v>
      </c>
      <c r="O407" s="699">
        <f>O462</f>
        <v>104143.66433323012</v>
      </c>
      <c r="P407" s="396"/>
      <c r="Q407" s="723" t="str">
        <f>Q462</f>
        <v>Aumento acumulado</v>
      </c>
      <c r="R407" s="699">
        <f>R462</f>
        <v>95121.248496373184</v>
      </c>
      <c r="S407" s="396"/>
      <c r="T407" s="224" t="str">
        <f>T462</f>
        <v>Aumento acumulado</v>
      </c>
      <c r="U407" s="699">
        <f>U462</f>
        <v>68357.49959974477</v>
      </c>
      <c r="V407" s="396"/>
      <c r="W407" s="224" t="str">
        <f>W462</f>
        <v>Aumento acumulado</v>
      </c>
      <c r="X407" s="699">
        <f>X462</f>
        <v>55262.399985317956</v>
      </c>
      <c r="Y407" s="396"/>
      <c r="Z407" s="224" t="str">
        <f>Z462</f>
        <v>Aumento acumulado</v>
      </c>
      <c r="AA407" s="699">
        <f>AA462</f>
        <v>39905.522412063146</v>
      </c>
      <c r="AB407" s="396"/>
      <c r="AC407" s="224" t="str">
        <f>AC462</f>
        <v>Aumento acumulado</v>
      </c>
      <c r="AD407" s="699">
        <f>AD462</f>
        <v>29491.309332873323</v>
      </c>
      <c r="AE407" s="396"/>
      <c r="AF407" s="224"/>
      <c r="AG407" s="465"/>
      <c r="AH407" s="396"/>
      <c r="AI407" s="69"/>
      <c r="AJ407" s="69"/>
      <c r="AK407" s="126"/>
      <c r="AL407" s="195"/>
      <c r="AM407" s="126"/>
      <c r="AN407" s="126"/>
      <c r="AO407" s="126"/>
      <c r="AP407" s="126"/>
      <c r="AQ407" s="126"/>
      <c r="AR407" s="126"/>
      <c r="AS407" s="126"/>
      <c r="AT407" s="126"/>
      <c r="AU407" s="126"/>
      <c r="AV407" s="126"/>
      <c r="AW407" s="126"/>
      <c r="AX407" s="126"/>
      <c r="AY407" s="126"/>
      <c r="AZ407" s="126"/>
    </row>
    <row r="408" spans="1:52" ht="18.75" thickBot="1">
      <c r="A408" s="126"/>
      <c r="B408" s="133"/>
      <c r="C408" s="643"/>
      <c r="D408" s="719"/>
      <c r="E408" s="724" t="str">
        <f>E463</f>
        <v>Porcentaje acumulado</v>
      </c>
      <c r="F408" s="581">
        <f>F463</f>
        <v>1.026049595339817</v>
      </c>
      <c r="G408" s="396"/>
      <c r="H408" s="724" t="str">
        <f>H463</f>
        <v>Porcentaje acumulado</v>
      </c>
      <c r="I408" s="581">
        <f>I463</f>
        <v>0.96063857111105522</v>
      </c>
      <c r="J408" s="396"/>
      <c r="K408" s="724" t="str">
        <f>K463</f>
        <v>Porcentaje acumulado</v>
      </c>
      <c r="L408" s="581">
        <f>L463</f>
        <v>0.91581976585967428</v>
      </c>
      <c r="M408" s="396"/>
      <c r="N408" s="226" t="str">
        <f>N463</f>
        <v>Porcentaje acumulado</v>
      </c>
      <c r="O408" s="581">
        <f>O463</f>
        <v>0.74897217745767497</v>
      </c>
      <c r="P408" s="396"/>
      <c r="Q408" s="724" t="str">
        <f>Q463</f>
        <v>Porcentaje acumulado</v>
      </c>
      <c r="R408" s="581">
        <f>R463</f>
        <v>0.68408548004286973</v>
      </c>
      <c r="S408" s="396"/>
      <c r="T408" s="226" t="str">
        <f>T463</f>
        <v>Porcentaje acumulado</v>
      </c>
      <c r="U408" s="581">
        <f>U463</f>
        <v>0.49160806515281019</v>
      </c>
      <c r="V408" s="396"/>
      <c r="W408" s="226" t="str">
        <f>W463</f>
        <v>Porcentaje acumulado</v>
      </c>
      <c r="X408" s="581">
        <f>X463</f>
        <v>0.39743176230197108</v>
      </c>
      <c r="Y408" s="396"/>
      <c r="Z408" s="226" t="str">
        <f>Z463</f>
        <v>Porcentaje acumulado</v>
      </c>
      <c r="AA408" s="581">
        <f>AA463</f>
        <v>0.28698938341477481</v>
      </c>
      <c r="AB408" s="396"/>
      <c r="AC408" s="226" t="str">
        <f>AC463</f>
        <v>Porcentaje acumulado</v>
      </c>
      <c r="AD408" s="581">
        <f>AD463</f>
        <v>0.2120932685491469</v>
      </c>
      <c r="AE408" s="396"/>
      <c r="AF408" s="226"/>
      <c r="AG408" s="466"/>
      <c r="AH408" s="396"/>
      <c r="AI408" s="69"/>
      <c r="AJ408" s="69"/>
      <c r="AK408" s="126"/>
      <c r="AL408" s="195"/>
      <c r="AM408" s="126"/>
      <c r="AN408" s="126"/>
      <c r="AO408" s="126"/>
      <c r="AP408" s="126"/>
      <c r="AQ408" s="126"/>
      <c r="AR408" s="126"/>
      <c r="AS408" s="126"/>
      <c r="AT408" s="126"/>
      <c r="AU408" s="126"/>
      <c r="AV408" s="126"/>
      <c r="AW408" s="126"/>
      <c r="AX408" s="126"/>
      <c r="AY408" s="126"/>
      <c r="AZ408" s="126"/>
    </row>
    <row r="409" spans="1:52" ht="16.5" thickBot="1">
      <c r="A409" s="126"/>
      <c r="B409" s="133"/>
      <c r="C409" s="643"/>
      <c r="D409" s="720"/>
      <c r="E409" s="222"/>
      <c r="F409" s="222"/>
      <c r="G409" s="396"/>
      <c r="H409" s="222"/>
      <c r="I409" s="222"/>
      <c r="J409" s="396"/>
      <c r="K409" s="222"/>
      <c r="L409" s="222"/>
      <c r="M409" s="396"/>
      <c r="N409" s="222"/>
      <c r="O409" s="222"/>
      <c r="P409" s="396"/>
      <c r="Q409" s="222"/>
      <c r="R409" s="222"/>
      <c r="S409" s="396"/>
      <c r="T409" s="222"/>
      <c r="U409" s="222"/>
      <c r="V409" s="396"/>
      <c r="W409" s="222"/>
      <c r="X409" s="222"/>
      <c r="Y409" s="396"/>
      <c r="Z409" s="222"/>
      <c r="AA409" s="222"/>
      <c r="AB409" s="396"/>
      <c r="AC409" s="222"/>
      <c r="AD409" s="222"/>
      <c r="AE409" s="396"/>
      <c r="AF409" s="222"/>
      <c r="AG409" s="222"/>
      <c r="AH409" s="396"/>
      <c r="AI409" s="195"/>
      <c r="AJ409" s="126"/>
      <c r="AK409" s="126"/>
      <c r="AL409" s="126"/>
      <c r="AM409" s="126"/>
      <c r="AN409" s="126"/>
      <c r="AO409" s="126"/>
      <c r="AP409" s="126"/>
      <c r="AQ409" s="126"/>
      <c r="AR409" s="126"/>
      <c r="AS409" s="126"/>
      <c r="AT409" s="126"/>
      <c r="AU409" s="126"/>
      <c r="AV409" s="126"/>
      <c r="AW409" s="126"/>
    </row>
    <row r="410" spans="1:52">
      <c r="A410" s="126"/>
      <c r="B410" s="61"/>
      <c r="C410" s="606"/>
      <c r="D410" s="720"/>
      <c r="E410" s="725" t="str">
        <f>E465</f>
        <v>Aumento provincial</v>
      </c>
      <c r="F410" s="747">
        <f>F465</f>
        <v>128630.94007287745</v>
      </c>
      <c r="G410" s="214"/>
      <c r="H410" s="725" t="str">
        <f>H465</f>
        <v>Aumento provincial</v>
      </c>
      <c r="I410" s="747">
        <f>I465</f>
        <v>121735.61723445612</v>
      </c>
      <c r="J410" s="214"/>
      <c r="K410" s="725" t="str">
        <f>K465</f>
        <v>Aumento provincial</v>
      </c>
      <c r="L410" s="747">
        <f>L465</f>
        <v>121735.61723445612</v>
      </c>
      <c r="M410" s="214"/>
      <c r="N410" s="228" t="str">
        <f>N465</f>
        <v>Aumento provincial</v>
      </c>
      <c r="O410" s="747">
        <f>O465</f>
        <v>98535.664333230117</v>
      </c>
      <c r="P410" s="214"/>
      <c r="Q410" s="725" t="str">
        <f>Q465</f>
        <v>Aumento provincial</v>
      </c>
      <c r="R410" s="747">
        <f>R465</f>
        <v>89513.248496373184</v>
      </c>
      <c r="S410" s="214"/>
      <c r="T410" s="228" t="str">
        <f>T465</f>
        <v>Aumento provincial</v>
      </c>
      <c r="U410" s="747">
        <f>U465</f>
        <v>63735.49959974477</v>
      </c>
      <c r="V410" s="214"/>
      <c r="W410" s="228" t="str">
        <f>W465</f>
        <v>Aumento provincial</v>
      </c>
      <c r="X410" s="747">
        <f>X465</f>
        <v>50640.399985317956</v>
      </c>
      <c r="Y410" s="214"/>
      <c r="Z410" s="228" t="str">
        <f>Z465</f>
        <v>Aumento provincial</v>
      </c>
      <c r="AA410" s="747">
        <f>AA465</f>
        <v>37751.522412063146</v>
      </c>
      <c r="AB410" s="214"/>
      <c r="AC410" s="228" t="str">
        <f>AC465</f>
        <v>Aumento provincial</v>
      </c>
      <c r="AD410" s="747">
        <f>AD465</f>
        <v>27337.309332873323</v>
      </c>
      <c r="AE410" s="214"/>
      <c r="AF410" s="228"/>
      <c r="AG410" s="467"/>
      <c r="AH410" s="214"/>
      <c r="AI410" s="69"/>
      <c r="AJ410" s="69"/>
      <c r="AK410" s="126"/>
      <c r="AL410" s="195"/>
      <c r="AM410" s="126"/>
      <c r="AN410" s="126"/>
      <c r="AO410" s="126"/>
      <c r="AP410" s="126"/>
      <c r="AQ410" s="126"/>
      <c r="AR410" s="126"/>
      <c r="AS410" s="126"/>
      <c r="AT410" s="126"/>
      <c r="AU410" s="126"/>
      <c r="AV410" s="126"/>
      <c r="AW410" s="126"/>
      <c r="AX410" s="126"/>
      <c r="AY410" s="126"/>
      <c r="AZ410" s="126"/>
    </row>
    <row r="411" spans="1:52" ht="16.5" thickBot="1">
      <c r="A411" s="126"/>
      <c r="B411" s="61"/>
      <c r="C411" s="61"/>
      <c r="D411" s="61"/>
      <c r="E411" s="230" t="str">
        <f>E466</f>
        <v>Porcentaje provincial</v>
      </c>
      <c r="F411" s="748">
        <f>F466</f>
        <v>0.99799954916008204</v>
      </c>
      <c r="G411" s="214"/>
      <c r="H411" s="230" t="str">
        <f>H466</f>
        <v>Porcentaje provincial</v>
      </c>
      <c r="I411" s="748">
        <f>I466</f>
        <v>0.94450130775596186</v>
      </c>
      <c r="J411" s="214"/>
      <c r="K411" s="230" t="str">
        <f>K466</f>
        <v>Porcentaje provincial</v>
      </c>
      <c r="L411" s="748">
        <f>L466</f>
        <v>0.94450130775596186</v>
      </c>
      <c r="M411" s="214"/>
      <c r="N411" s="230" t="str">
        <f>N466</f>
        <v>Porcentaje provincial</v>
      </c>
      <c r="O411" s="748">
        <f>O466</f>
        <v>0.7645015151489829</v>
      </c>
      <c r="P411" s="214"/>
      <c r="Q411" s="230" t="str">
        <f>Q466</f>
        <v>Porcentaje provincial</v>
      </c>
      <c r="R411" s="748">
        <f>R466</f>
        <v>0.69449995150950028</v>
      </c>
      <c r="S411" s="214"/>
      <c r="T411" s="230" t="str">
        <f>T466</f>
        <v>Porcentaje provincial</v>
      </c>
      <c r="U411" s="748">
        <f>U466</f>
        <v>0.49449999999999977</v>
      </c>
      <c r="V411" s="214"/>
      <c r="W411" s="230" t="str">
        <f>W466</f>
        <v>Porcentaje provincial</v>
      </c>
      <c r="X411" s="748">
        <f>X466</f>
        <v>0.39289999999999997</v>
      </c>
      <c r="Y411" s="214"/>
      <c r="Z411" s="230" t="str">
        <f>Z466</f>
        <v>Porcentaje provincial</v>
      </c>
      <c r="AA411" s="748">
        <f>AA466</f>
        <v>0.29289999999999961</v>
      </c>
      <c r="AB411" s="214"/>
      <c r="AC411" s="230" t="str">
        <f>AC466</f>
        <v>Porcentaje provincial</v>
      </c>
      <c r="AD411" s="748">
        <f>AD466</f>
        <v>0.21209999999999979</v>
      </c>
      <c r="AE411" s="214"/>
      <c r="AF411" s="230"/>
      <c r="AG411" s="468"/>
      <c r="AH411" s="214"/>
      <c r="AI411" s="69"/>
      <c r="AJ411" s="69"/>
      <c r="AK411" s="126"/>
      <c r="AL411" s="195"/>
      <c r="AM411" s="126"/>
      <c r="AN411" s="126"/>
      <c r="AO411" s="126"/>
      <c r="AP411" s="126"/>
      <c r="AQ411" s="126"/>
      <c r="AR411" s="126"/>
      <c r="AS411" s="126"/>
      <c r="AT411" s="126"/>
      <c r="AU411" s="126"/>
      <c r="AV411" s="126"/>
      <c r="AW411" s="126"/>
      <c r="AX411" s="126"/>
      <c r="AY411" s="126"/>
      <c r="AZ411" s="126"/>
    </row>
    <row r="412" spans="1:52" ht="16.5" thickBot="1">
      <c r="A412" s="126"/>
      <c r="B412" s="61"/>
      <c r="C412" s="61"/>
      <c r="D412" s="61"/>
      <c r="E412" s="222"/>
      <c r="F412" s="222"/>
      <c r="G412" s="214"/>
      <c r="H412" s="222"/>
      <c r="I412" s="222"/>
      <c r="J412" s="214"/>
      <c r="K412" s="222"/>
      <c r="L412" s="222"/>
      <c r="M412" s="214"/>
      <c r="N412" s="222"/>
      <c r="O412" s="222"/>
      <c r="P412" s="214"/>
      <c r="Q412" s="222"/>
      <c r="R412" s="222"/>
      <c r="S412" s="214"/>
      <c r="T412" s="222"/>
      <c r="U412" s="222"/>
      <c r="V412" s="214"/>
      <c r="W412" s="222"/>
      <c r="X412" s="222"/>
      <c r="Y412" s="214"/>
      <c r="Z412" s="222"/>
      <c r="AA412" s="222"/>
      <c r="AB412" s="214"/>
      <c r="AC412" s="222"/>
      <c r="AD412" s="222"/>
      <c r="AE412" s="214"/>
      <c r="AF412" s="222"/>
      <c r="AG412" s="222"/>
      <c r="AH412" s="214"/>
      <c r="AI412" s="69"/>
      <c r="AJ412" s="69"/>
      <c r="AK412" s="126"/>
      <c r="AL412" s="195"/>
      <c r="AM412" s="126"/>
      <c r="AN412" s="126"/>
      <c r="AO412" s="126"/>
      <c r="AP412" s="126"/>
      <c r="AQ412" s="126"/>
      <c r="AR412" s="126"/>
      <c r="AS412" s="126"/>
      <c r="AT412" s="126"/>
      <c r="AU412" s="126"/>
      <c r="AV412" s="126"/>
      <c r="AW412" s="126"/>
      <c r="AX412" s="126"/>
      <c r="AY412" s="126"/>
      <c r="AZ412" s="126"/>
    </row>
    <row r="413" spans="1:52" ht="16.5" thickTop="1">
      <c r="A413" s="126"/>
      <c r="B413" s="61"/>
      <c r="C413" s="61"/>
      <c r="D413" s="61"/>
      <c r="E413" s="232" t="str">
        <f t="shared" ref="E413:E419" si="552">E468</f>
        <v>Medio Aguinaldo</v>
      </c>
      <c r="F413" s="233"/>
      <c r="G413" s="214"/>
      <c r="H413" s="232" t="str">
        <f t="shared" ref="H413:H419" si="553">H468</f>
        <v>Medio Aguinaldo</v>
      </c>
      <c r="I413" s="233"/>
      <c r="J413" s="214"/>
      <c r="K413" s="232" t="str">
        <f t="shared" ref="K413:K419" si="554">K468</f>
        <v>Medio Aguinaldo</v>
      </c>
      <c r="L413" s="233"/>
      <c r="M413" s="214"/>
      <c r="N413" s="232" t="str">
        <f t="shared" ref="N413:N419" si="555">N468</f>
        <v>Medio Aguinaldo</v>
      </c>
      <c r="O413" s="233"/>
      <c r="P413" s="214"/>
      <c r="Q413" s="232" t="str">
        <f t="shared" ref="Q413:Q419" si="556">Q468</f>
        <v>Medio Aguinaldo</v>
      </c>
      <c r="R413" s="233"/>
      <c r="S413" s="214"/>
      <c r="T413" s="232" t="str">
        <f t="shared" ref="T413:T419" si="557">T468</f>
        <v>Medio Aguinaldo</v>
      </c>
      <c r="U413" s="233"/>
      <c r="V413" s="214"/>
      <c r="W413" s="232" t="str">
        <f t="shared" ref="W413:W419" si="558">W468</f>
        <v>Medio Aguinaldo</v>
      </c>
      <c r="X413" s="233"/>
      <c r="Y413" s="214"/>
      <c r="Z413" s="232" t="str">
        <f t="shared" ref="Z413:Z419" si="559">Z468</f>
        <v>Medio Aguinaldo</v>
      </c>
      <c r="AA413" s="233"/>
      <c r="AB413" s="214"/>
      <c r="AC413" s="232" t="str">
        <f t="shared" ref="AC413:AC419" si="560">AC468</f>
        <v>Medio Aguinaldo</v>
      </c>
      <c r="AD413" s="233"/>
      <c r="AE413" s="214"/>
      <c r="AF413" s="232" t="str">
        <f t="shared" ref="AF413:AF419" si="561">AF468</f>
        <v>Medio Aguinaldo</v>
      </c>
      <c r="AG413" s="233"/>
      <c r="AH413" s="214"/>
      <c r="AI413" s="69"/>
      <c r="AJ413" s="69"/>
      <c r="AK413" s="126"/>
      <c r="AL413" s="195"/>
      <c r="AM413" s="126"/>
      <c r="AN413" s="126"/>
      <c r="AO413" s="126"/>
      <c r="AP413" s="126"/>
      <c r="AQ413" s="126"/>
      <c r="AR413" s="126"/>
      <c r="AS413" s="126"/>
      <c r="AT413" s="126"/>
      <c r="AU413" s="126"/>
      <c r="AV413" s="126"/>
      <c r="AW413" s="126"/>
      <c r="AX413" s="126"/>
      <c r="AY413" s="126"/>
      <c r="AZ413" s="126"/>
    </row>
    <row r="414" spans="1:52">
      <c r="A414" s="126"/>
      <c r="B414" s="61"/>
      <c r="C414" s="61"/>
      <c r="D414" s="61"/>
      <c r="E414" s="469" t="str">
        <f t="shared" si="552"/>
        <v>código 100</v>
      </c>
      <c r="F414" s="470">
        <f>F469</f>
        <v>158962.78753421301</v>
      </c>
      <c r="G414" s="214"/>
      <c r="H414" s="469" t="str">
        <f t="shared" si="553"/>
        <v>código 100</v>
      </c>
      <c r="I414" s="470">
        <f>I469</f>
        <v>154706.4154117307</v>
      </c>
      <c r="J414" s="214"/>
      <c r="K414" s="469" t="str">
        <f t="shared" si="554"/>
        <v>código 100</v>
      </c>
      <c r="L414" s="470">
        <f>L469</f>
        <v>154706.4154117307</v>
      </c>
      <c r="M414" s="214"/>
      <c r="N414" s="469" t="str">
        <f t="shared" si="555"/>
        <v>código 100</v>
      </c>
      <c r="O414" s="470">
        <f>O469</f>
        <v>140385.45683072699</v>
      </c>
      <c r="P414" s="214"/>
      <c r="Q414" s="469" t="str">
        <f t="shared" si="556"/>
        <v>código 100</v>
      </c>
      <c r="R414" s="470">
        <f>R469</f>
        <v>134816.06433884002</v>
      </c>
      <c r="S414" s="214"/>
      <c r="T414" s="469" t="str">
        <f t="shared" si="557"/>
        <v>código 100</v>
      </c>
      <c r="U414" s="470">
        <f>U469</f>
        <v>118903.87366190889</v>
      </c>
      <c r="V414" s="214"/>
      <c r="W414" s="469" t="str">
        <f t="shared" si="558"/>
        <v>código 100</v>
      </c>
      <c r="X414" s="470">
        <f>X469</f>
        <v>110820.47883818863</v>
      </c>
      <c r="Y414" s="214"/>
      <c r="Z414" s="469" t="str">
        <f t="shared" si="559"/>
        <v>código 100</v>
      </c>
      <c r="AA414" s="470">
        <f>AA469</f>
        <v>102864.3815707474</v>
      </c>
      <c r="AB414" s="214"/>
      <c r="AC414" s="469" t="str">
        <f t="shared" si="560"/>
        <v>código 100</v>
      </c>
      <c r="AD414" s="470">
        <f>AD469</f>
        <v>96435.854978654912</v>
      </c>
      <c r="AE414" s="214"/>
      <c r="AF414" s="469" t="str">
        <f t="shared" si="561"/>
        <v>código 100</v>
      </c>
      <c r="AG414" s="470">
        <f>AG469</f>
        <v>79560.972674412114</v>
      </c>
      <c r="AH414" s="214"/>
      <c r="AI414" s="195"/>
      <c r="AJ414" s="126"/>
      <c r="AK414" s="126"/>
      <c r="AL414" s="126"/>
      <c r="AM414" s="126"/>
      <c r="AN414" s="126"/>
      <c r="AO414" s="126"/>
      <c r="AP414" s="126"/>
      <c r="AQ414" s="126"/>
      <c r="AR414" s="126"/>
      <c r="AS414" s="126"/>
      <c r="AT414" s="126"/>
      <c r="AU414" s="126"/>
      <c r="AV414" s="126"/>
      <c r="AW414" s="126"/>
    </row>
    <row r="415" spans="1:52">
      <c r="A415" s="126"/>
      <c r="B415" s="61"/>
      <c r="C415" s="61"/>
      <c r="D415" s="61"/>
      <c r="E415" s="471" t="str">
        <f t="shared" si="552"/>
        <v>código 186 (No remun)</v>
      </c>
      <c r="F415" s="472">
        <f>F470</f>
        <v>0</v>
      </c>
      <c r="G415" s="214"/>
      <c r="H415" s="471" t="str">
        <f t="shared" si="553"/>
        <v>código 186 (No remun)</v>
      </c>
      <c r="I415" s="472">
        <f>I470</f>
        <v>0</v>
      </c>
      <c r="J415" s="214"/>
      <c r="K415" s="471" t="str">
        <f t="shared" si="554"/>
        <v>código 186 (No remun)</v>
      </c>
      <c r="L415" s="472">
        <f>L470</f>
        <v>0</v>
      </c>
      <c r="M415" s="214"/>
      <c r="N415" s="471" t="str">
        <f t="shared" si="555"/>
        <v>código 186 (No remun)</v>
      </c>
      <c r="O415" s="472">
        <f>O470</f>
        <v>0</v>
      </c>
      <c r="P415" s="214"/>
      <c r="Q415" s="471" t="str">
        <f t="shared" si="556"/>
        <v>código 186 (No remun)</v>
      </c>
      <c r="R415" s="472">
        <f>R470</f>
        <v>0</v>
      </c>
      <c r="S415" s="214"/>
      <c r="T415" s="471" t="str">
        <f t="shared" si="557"/>
        <v>código 186 (No remun)</v>
      </c>
      <c r="U415" s="472">
        <f>U470</f>
        <v>0</v>
      </c>
      <c r="V415" s="214"/>
      <c r="W415" s="471" t="str">
        <f t="shared" si="558"/>
        <v>código 186 (No remun)</v>
      </c>
      <c r="X415" s="472">
        <f>X470</f>
        <v>0</v>
      </c>
      <c r="Y415" s="214"/>
      <c r="Z415" s="471" t="str">
        <f t="shared" si="559"/>
        <v>código 186 (No remun)</v>
      </c>
      <c r="AA415" s="472">
        <f>AA470</f>
        <v>0</v>
      </c>
      <c r="AB415" s="214"/>
      <c r="AC415" s="471" t="str">
        <f t="shared" si="560"/>
        <v>código 186 (No remun)</v>
      </c>
      <c r="AD415" s="472">
        <f>AD470</f>
        <v>0</v>
      </c>
      <c r="AE415" s="214"/>
      <c r="AF415" s="471" t="str">
        <f t="shared" si="561"/>
        <v>código 186 (No remun)</v>
      </c>
      <c r="AG415" s="472">
        <f>AG470</f>
        <v>0</v>
      </c>
      <c r="AH415" s="214"/>
      <c r="AI415" s="195"/>
      <c r="AJ415" s="126"/>
      <c r="AK415" s="126"/>
      <c r="AL415" s="126"/>
      <c r="AM415" s="126"/>
      <c r="AN415" s="126"/>
      <c r="AO415" s="126"/>
      <c r="AP415" s="126"/>
      <c r="AQ415" s="126"/>
      <c r="AR415" s="126"/>
      <c r="AS415" s="126"/>
      <c r="AT415" s="126"/>
      <c r="AU415" s="126"/>
      <c r="AV415" s="126"/>
      <c r="AW415" s="126"/>
    </row>
    <row r="416" spans="1:52">
      <c r="A416" s="126"/>
      <c r="B416" s="61"/>
      <c r="C416" s="61"/>
      <c r="D416" s="61"/>
      <c r="E416" s="473" t="str">
        <f t="shared" si="552"/>
        <v>Líquido</v>
      </c>
      <c r="F416" s="474">
        <f>F471</f>
        <v>127806.08117750727</v>
      </c>
      <c r="G416" s="214"/>
      <c r="H416" s="473" t="str">
        <f t="shared" si="553"/>
        <v>Líquido</v>
      </c>
      <c r="I416" s="474">
        <f>I471</f>
        <v>124383.95799103149</v>
      </c>
      <c r="J416" s="214"/>
      <c r="K416" s="473" t="str">
        <f t="shared" si="554"/>
        <v>Líquido</v>
      </c>
      <c r="L416" s="474">
        <f>L471</f>
        <v>124383.95799103149</v>
      </c>
      <c r="M416" s="214"/>
      <c r="N416" s="473" t="str">
        <f t="shared" si="555"/>
        <v>Líquido</v>
      </c>
      <c r="O416" s="474">
        <f>O471</f>
        <v>112869.90729190451</v>
      </c>
      <c r="P416" s="214"/>
      <c r="Q416" s="473" t="str">
        <f t="shared" si="556"/>
        <v>Líquido</v>
      </c>
      <c r="R416" s="474">
        <f>R471</f>
        <v>108392.11572842738</v>
      </c>
      <c r="S416" s="214"/>
      <c r="T416" s="473" t="str">
        <f t="shared" si="557"/>
        <v>Líquido</v>
      </c>
      <c r="U416" s="474">
        <f>U471</f>
        <v>95598.714424174759</v>
      </c>
      <c r="V416" s="214"/>
      <c r="W416" s="473" t="str">
        <f t="shared" si="558"/>
        <v>Líquido</v>
      </c>
      <c r="X416" s="474">
        <f>X471</f>
        <v>89099.66498590367</v>
      </c>
      <c r="Y416" s="214"/>
      <c r="Z416" s="473" t="str">
        <f t="shared" si="559"/>
        <v>Líquido</v>
      </c>
      <c r="AA416" s="474">
        <f>AA471</f>
        <v>82702.962782880917</v>
      </c>
      <c r="AB416" s="214"/>
      <c r="AC416" s="473" t="str">
        <f t="shared" si="560"/>
        <v>Líquido</v>
      </c>
      <c r="AD416" s="474">
        <f>AD471</f>
        <v>77534.427402838555</v>
      </c>
      <c r="AE416" s="214"/>
      <c r="AF416" s="473" t="str">
        <f t="shared" si="561"/>
        <v>Líquido</v>
      </c>
      <c r="AG416" s="474">
        <f>AG471</f>
        <v>63967.022030227345</v>
      </c>
      <c r="AH416" s="214"/>
      <c r="AI416" s="195"/>
      <c r="AJ416" s="126"/>
      <c r="AK416" s="126"/>
      <c r="AL416" s="126"/>
      <c r="AM416" s="126"/>
      <c r="AN416" s="126"/>
      <c r="AO416" s="126"/>
      <c r="AP416" s="126"/>
      <c r="AQ416" s="126"/>
      <c r="AR416" s="126"/>
      <c r="AS416" s="126"/>
      <c r="AT416" s="126"/>
      <c r="AU416" s="126"/>
      <c r="AV416" s="126"/>
      <c r="AW416" s="126"/>
    </row>
    <row r="417" spans="1:51">
      <c r="A417" s="126"/>
      <c r="B417" s="61"/>
      <c r="C417" s="61"/>
      <c r="D417" s="61"/>
      <c r="E417" s="471" t="str">
        <f t="shared" si="552"/>
        <v>Descuentos con aguinaldo</v>
      </c>
      <c r="F417" s="472"/>
      <c r="G417" s="214"/>
      <c r="H417" s="471" t="str">
        <f t="shared" si="553"/>
        <v>Descuentos con aguinaldo</v>
      </c>
      <c r="I417" s="472"/>
      <c r="J417" s="214"/>
      <c r="K417" s="471" t="str">
        <f t="shared" si="554"/>
        <v>Descuentos con aguinaldo</v>
      </c>
      <c r="L417" s="472"/>
      <c r="M417" s="214"/>
      <c r="N417" s="471" t="str">
        <f t="shared" si="555"/>
        <v>Descuentos con aguinaldo</v>
      </c>
      <c r="O417" s="472"/>
      <c r="P417" s="214"/>
      <c r="Q417" s="471" t="str">
        <f t="shared" si="556"/>
        <v>Descuentos con aguinaldo</v>
      </c>
      <c r="R417" s="472"/>
      <c r="S417" s="214"/>
      <c r="T417" s="471" t="str">
        <f t="shared" si="557"/>
        <v>Descuentos con aguinaldo</v>
      </c>
      <c r="U417" s="472"/>
      <c r="V417" s="214"/>
      <c r="W417" s="471" t="str">
        <f t="shared" si="558"/>
        <v>Descuentos con aguinaldo</v>
      </c>
      <c r="X417" s="472"/>
      <c r="Y417" s="214"/>
      <c r="Z417" s="471" t="str">
        <f t="shared" si="559"/>
        <v>Descuentos con aguinaldo</v>
      </c>
      <c r="AA417" s="472"/>
      <c r="AB417" s="214"/>
      <c r="AC417" s="471" t="str">
        <f t="shared" si="560"/>
        <v>Descuentos con aguinaldo</v>
      </c>
      <c r="AD417" s="472"/>
      <c r="AE417" s="214"/>
      <c r="AF417" s="471" t="str">
        <f t="shared" si="561"/>
        <v>Descuentos con aguinaldo</v>
      </c>
      <c r="AG417" s="472"/>
      <c r="AH417" s="214"/>
      <c r="AI417" s="195"/>
      <c r="AJ417" s="126"/>
      <c r="AK417" s="126"/>
      <c r="AL417" s="126"/>
      <c r="AM417" s="126"/>
      <c r="AN417" s="126"/>
      <c r="AO417" s="126"/>
      <c r="AP417" s="126"/>
      <c r="AQ417" s="126"/>
      <c r="AR417" s="126"/>
      <c r="AS417" s="126"/>
      <c r="AT417" s="126"/>
      <c r="AU417" s="126"/>
      <c r="AV417" s="126"/>
      <c r="AW417" s="126"/>
    </row>
    <row r="418" spans="1:51">
      <c r="A418" s="126"/>
      <c r="B418" s="61"/>
      <c r="C418" s="61"/>
      <c r="D418" s="61"/>
      <c r="E418" s="473">
        <f t="shared" si="552"/>
        <v>502</v>
      </c>
      <c r="F418" s="474">
        <f>F473</f>
        <v>-76302.13801642225</v>
      </c>
      <c r="G418" s="214"/>
      <c r="H418" s="473">
        <f t="shared" si="553"/>
        <v>502</v>
      </c>
      <c r="I418" s="474">
        <f>I473</f>
        <v>-74259.079397630747</v>
      </c>
      <c r="J418" s="214"/>
      <c r="K418" s="473">
        <f t="shared" si="554"/>
        <v>502</v>
      </c>
      <c r="L418" s="474">
        <f>L473</f>
        <v>-74259.079397630747</v>
      </c>
      <c r="M418" s="214"/>
      <c r="N418" s="473">
        <f t="shared" si="555"/>
        <v>502</v>
      </c>
      <c r="O418" s="474">
        <f>O473</f>
        <v>-67385.019278748965</v>
      </c>
      <c r="P418" s="214"/>
      <c r="Q418" s="473">
        <f t="shared" si="556"/>
        <v>502</v>
      </c>
      <c r="R418" s="474">
        <f>R473</f>
        <v>-64711.710882643209</v>
      </c>
      <c r="S418" s="214"/>
      <c r="T418" s="473">
        <f t="shared" si="557"/>
        <v>502</v>
      </c>
      <c r="U418" s="474">
        <f>U473</f>
        <v>-57073.859357716268</v>
      </c>
      <c r="V418" s="214"/>
      <c r="W418" s="473">
        <f t="shared" si="558"/>
        <v>502</v>
      </c>
      <c r="X418" s="474">
        <f>X473</f>
        <v>-53193.829842330546</v>
      </c>
      <c r="Y418" s="214"/>
      <c r="Z418" s="473">
        <f t="shared" si="559"/>
        <v>502</v>
      </c>
      <c r="AA418" s="474">
        <f>AA473</f>
        <v>-49374.90315395876</v>
      </c>
      <c r="AB418" s="214"/>
      <c r="AC418" s="473">
        <f t="shared" si="560"/>
        <v>502</v>
      </c>
      <c r="AD418" s="474">
        <f>AD473</f>
        <v>-46289.210389754364</v>
      </c>
      <c r="AE418" s="214"/>
      <c r="AF418" s="473">
        <f t="shared" si="561"/>
        <v>502</v>
      </c>
      <c r="AG418" s="474">
        <f>AG473</f>
        <v>-38189.266883717813</v>
      </c>
      <c r="AH418" s="214"/>
      <c r="AI418" s="195"/>
      <c r="AJ418" s="126"/>
      <c r="AK418" s="126"/>
      <c r="AL418" s="126"/>
      <c r="AM418" s="126"/>
      <c r="AN418" s="126"/>
      <c r="AO418" s="126"/>
      <c r="AP418" s="126"/>
      <c r="AQ418" s="126"/>
      <c r="AR418" s="126"/>
      <c r="AS418" s="126"/>
      <c r="AT418" s="126"/>
      <c r="AU418" s="126"/>
      <c r="AV418" s="126"/>
      <c r="AW418" s="126"/>
    </row>
    <row r="419" spans="1:51" ht="15">
      <c r="A419" s="126"/>
      <c r="B419" s="61"/>
      <c r="C419" s="61"/>
      <c r="D419" s="61"/>
      <c r="E419" s="473">
        <f t="shared" si="552"/>
        <v>505</v>
      </c>
      <c r="F419" s="474">
        <f>F474</f>
        <v>-14306.65087807917</v>
      </c>
      <c r="G419" s="214"/>
      <c r="H419" s="473">
        <f t="shared" si="553"/>
        <v>505</v>
      </c>
      <c r="I419" s="474">
        <f>I474</f>
        <v>-13923.577387055762</v>
      </c>
      <c r="J419" s="214"/>
      <c r="K419" s="473">
        <f t="shared" si="554"/>
        <v>505</v>
      </c>
      <c r="L419" s="474">
        <f>L474</f>
        <v>-13923.577387055762</v>
      </c>
      <c r="M419" s="214"/>
      <c r="N419" s="473">
        <f t="shared" si="555"/>
        <v>505</v>
      </c>
      <c r="O419" s="474">
        <f>O474</f>
        <v>-12634.691114765428</v>
      </c>
      <c r="P419" s="214"/>
      <c r="Q419" s="473">
        <f t="shared" si="556"/>
        <v>505</v>
      </c>
      <c r="R419" s="474">
        <f>R474</f>
        <v>-12133.445790495602</v>
      </c>
      <c r="S419" s="214"/>
      <c r="T419" s="473">
        <f t="shared" si="557"/>
        <v>505</v>
      </c>
      <c r="U419" s="474">
        <f>U474</f>
        <v>-10701.348629571799</v>
      </c>
      <c r="V419" s="214"/>
      <c r="W419" s="473">
        <f t="shared" si="558"/>
        <v>505</v>
      </c>
      <c r="X419" s="474">
        <f>X474</f>
        <v>-9973.843095436976</v>
      </c>
      <c r="Y419" s="214"/>
      <c r="Z419" s="473">
        <f t="shared" si="559"/>
        <v>505</v>
      </c>
      <c r="AA419" s="474">
        <f>AA474</f>
        <v>-9257.7943413672674</v>
      </c>
      <c r="AB419" s="214"/>
      <c r="AC419" s="473">
        <f t="shared" si="560"/>
        <v>505</v>
      </c>
      <c r="AD419" s="474">
        <f>AD474</f>
        <v>-8679.2269480789419</v>
      </c>
      <c r="AE419" s="214"/>
      <c r="AF419" s="473">
        <f t="shared" si="561"/>
        <v>505</v>
      </c>
      <c r="AG419" s="474">
        <f>AG474</f>
        <v>-7160.4875406970896</v>
      </c>
      <c r="AH419" s="214"/>
      <c r="AI419" s="126"/>
      <c r="AJ419" s="126"/>
      <c r="AK419" s="126"/>
      <c r="AL419" s="126"/>
      <c r="AM419" s="126"/>
      <c r="AN419" s="126"/>
      <c r="AO419" s="126"/>
      <c r="AP419" s="126"/>
      <c r="AQ419" s="126"/>
      <c r="AR419" s="126"/>
      <c r="AS419" s="126"/>
      <c r="AT419" s="126"/>
      <c r="AU419" s="126"/>
    </row>
    <row r="420" spans="1:51" ht="15">
      <c r="A420" s="126"/>
      <c r="B420" s="61"/>
      <c r="C420" s="61"/>
      <c r="D420" s="61"/>
      <c r="E420" s="471"/>
      <c r="F420" s="472"/>
      <c r="G420" s="214"/>
      <c r="H420" s="471"/>
      <c r="I420" s="472"/>
      <c r="J420" s="214"/>
      <c r="K420" s="471"/>
      <c r="L420" s="472"/>
      <c r="M420" s="214"/>
      <c r="N420" s="471"/>
      <c r="O420" s="472"/>
      <c r="P420" s="214"/>
      <c r="Q420" s="471"/>
      <c r="R420" s="472"/>
      <c r="S420" s="214"/>
      <c r="T420" s="471"/>
      <c r="U420" s="472"/>
      <c r="V420" s="214"/>
      <c r="W420" s="471"/>
      <c r="X420" s="472"/>
      <c r="Y420" s="214"/>
      <c r="Z420" s="471"/>
      <c r="AA420" s="472"/>
      <c r="AB420" s="214"/>
      <c r="AC420" s="471"/>
      <c r="AD420" s="472"/>
      <c r="AE420" s="214"/>
      <c r="AF420" s="471"/>
      <c r="AG420" s="472"/>
      <c r="AH420" s="214"/>
      <c r="AI420" s="126"/>
      <c r="AJ420" s="126"/>
      <c r="AK420" s="126"/>
      <c r="AL420" s="126"/>
      <c r="AM420" s="126"/>
      <c r="AN420" s="126"/>
      <c r="AO420" s="126"/>
      <c r="AP420" s="126"/>
      <c r="AQ420" s="126"/>
      <c r="AR420" s="126"/>
      <c r="AS420" s="126"/>
      <c r="AT420" s="126"/>
      <c r="AU420" s="126"/>
    </row>
    <row r="421" spans="1:51" ht="15">
      <c r="A421" s="126"/>
      <c r="B421" s="61"/>
      <c r="C421" s="61"/>
      <c r="D421" s="61"/>
      <c r="E421" s="473" t="str">
        <f t="shared" ref="E421" si="562">E476</f>
        <v>Sueldo líquido incluyendo aguinaldo</v>
      </c>
      <c r="F421" s="474"/>
      <c r="G421" s="214"/>
      <c r="H421" s="473" t="str">
        <f t="shared" ref="H421" si="563">H476</f>
        <v>Sueldo líquido incluyendo aguinaldo</v>
      </c>
      <c r="I421" s="474"/>
      <c r="J421" s="214"/>
      <c r="K421" s="473" t="str">
        <f t="shared" ref="K421" si="564">K476</f>
        <v>Sueldo líquido incluyendo aguinaldo</v>
      </c>
      <c r="L421" s="474"/>
      <c r="M421" s="214"/>
      <c r="N421" s="473" t="str">
        <f t="shared" ref="N421" si="565">N476</f>
        <v>Sueldo líquido incluyendo aguinaldo</v>
      </c>
      <c r="O421" s="474"/>
      <c r="P421" s="214"/>
      <c r="Q421" s="473" t="str">
        <f t="shared" ref="Q421" si="566">Q476</f>
        <v>Sueldo líquido incluyendo aguinaldo</v>
      </c>
      <c r="R421" s="474"/>
      <c r="S421" s="214"/>
      <c r="T421" s="473" t="str">
        <f t="shared" ref="T421" si="567">T476</f>
        <v>Sueldo líquido incluyendo aguinaldo</v>
      </c>
      <c r="U421" s="474"/>
      <c r="V421" s="214"/>
      <c r="W421" s="473" t="str">
        <f t="shared" ref="W421" si="568">W476</f>
        <v>Sueldo líquido incluyendo aguinaldo</v>
      </c>
      <c r="X421" s="474"/>
      <c r="Y421" s="214"/>
      <c r="Z421" s="473" t="str">
        <f t="shared" ref="Z421" si="569">Z476</f>
        <v>Sueldo líquido incluyendo aguinaldo</v>
      </c>
      <c r="AA421" s="474"/>
      <c r="AB421" s="214"/>
      <c r="AC421" s="473" t="str">
        <f t="shared" ref="AC421" si="570">AC476</f>
        <v>Sueldo líquido incluyendo aguinaldo</v>
      </c>
      <c r="AD421" s="474"/>
      <c r="AE421" s="214"/>
      <c r="AF421" s="473" t="str">
        <f t="shared" ref="AF421" si="571">AF476</f>
        <v>Sueldo líquido incluyendo aguinaldo</v>
      </c>
      <c r="AG421" s="474"/>
      <c r="AH421" s="214"/>
      <c r="AI421" s="126"/>
      <c r="AJ421" s="126"/>
      <c r="AK421" s="126"/>
      <c r="AL421" s="126"/>
      <c r="AM421" s="126"/>
      <c r="AN421" s="126"/>
      <c r="AO421" s="126"/>
      <c r="AP421" s="126"/>
      <c r="AQ421" s="126"/>
      <c r="AR421" s="126"/>
      <c r="AS421" s="126"/>
      <c r="AT421" s="126"/>
      <c r="AU421" s="126"/>
    </row>
    <row r="422" spans="1:51" ht="15">
      <c r="A422" s="126"/>
      <c r="B422" s="61"/>
      <c r="C422" s="61"/>
      <c r="D422" s="61"/>
      <c r="E422" s="471"/>
      <c r="F422" s="475">
        <f t="shared" ref="F422" si="572">F477</f>
        <v>410479.57370813756</v>
      </c>
      <c r="G422" s="214"/>
      <c r="H422" s="471"/>
      <c r="I422" s="475">
        <f t="shared" ref="I422" si="573">I477</f>
        <v>397936.58945050556</v>
      </c>
      <c r="J422" s="214"/>
      <c r="K422" s="471"/>
      <c r="L422" s="475">
        <f t="shared" ref="L422" si="574">L477</f>
        <v>391704.58945050556</v>
      </c>
      <c r="M422" s="214"/>
      <c r="N422" s="471"/>
      <c r="O422" s="475">
        <f t="shared" ref="O422" si="575">O477</f>
        <v>356904.66009866662</v>
      </c>
      <c r="P422" s="214"/>
      <c r="Q422" s="471"/>
      <c r="R422" s="475">
        <f t="shared" ref="R422" si="576">R477</f>
        <v>343371.03634338127</v>
      </c>
      <c r="S422" s="214"/>
      <c r="T422" s="471"/>
      <c r="U422" s="475">
        <f t="shared" ref="U422" si="577">U477</f>
        <v>303718.41299843858</v>
      </c>
      <c r="V422" s="214"/>
      <c r="W422" s="471"/>
      <c r="X422" s="475">
        <f t="shared" ref="X422" si="578">X477</f>
        <v>284075.76357679837</v>
      </c>
      <c r="Y422" s="214"/>
      <c r="Z422" s="471"/>
      <c r="AA422" s="475">
        <f t="shared" ref="AA422" si="579">AA477</f>
        <v>262274.44721691619</v>
      </c>
      <c r="AB422" s="214"/>
      <c r="AC422" s="471"/>
      <c r="AD422" s="475">
        <f t="shared" ref="AD422" si="580">AD477</f>
        <v>246653.12759813145</v>
      </c>
      <c r="AE422" s="214"/>
      <c r="AF422" s="471"/>
      <c r="AG422" s="475">
        <f t="shared" ref="AG422" si="581">AG477</f>
        <v>203493.16359882141</v>
      </c>
      <c r="AH422" s="214"/>
      <c r="AI422" s="126"/>
      <c r="AJ422" s="126"/>
      <c r="AK422" s="126"/>
      <c r="AL422" s="126"/>
      <c r="AM422" s="126"/>
      <c r="AN422" s="126"/>
      <c r="AO422" s="126"/>
      <c r="AP422" s="126"/>
      <c r="AQ422" s="126"/>
      <c r="AR422" s="126"/>
      <c r="AS422" s="126"/>
      <c r="AT422" s="126"/>
      <c r="AU422" s="126"/>
    </row>
    <row r="423" spans="1:51">
      <c r="A423" s="126"/>
      <c r="B423" s="61"/>
      <c r="C423" s="61"/>
      <c r="D423" s="61"/>
      <c r="E423" s="476" t="str">
        <f t="shared" ref="E423" si="582">E478</f>
        <v>Aguinaldo de bolsillo</v>
      </c>
      <c r="F423" s="477"/>
      <c r="G423" s="478"/>
      <c r="H423" s="476" t="str">
        <f t="shared" ref="H423" si="583">H478</f>
        <v>Aguinaldo de bolsillo</v>
      </c>
      <c r="I423" s="477"/>
      <c r="J423" s="478"/>
      <c r="K423" s="476" t="str">
        <f t="shared" ref="K423" si="584">K478</f>
        <v>Aguinaldo de bolsillo</v>
      </c>
      <c r="L423" s="477"/>
      <c r="M423" s="478"/>
      <c r="N423" s="476" t="str">
        <f t="shared" ref="N423" si="585">N478</f>
        <v>Aguinaldo de bolsillo</v>
      </c>
      <c r="O423" s="477"/>
      <c r="P423" s="478"/>
      <c r="Q423" s="476" t="str">
        <f t="shared" ref="Q423" si="586">Q478</f>
        <v>Aguinaldo de bolsillo</v>
      </c>
      <c r="R423" s="477"/>
      <c r="S423" s="478"/>
      <c r="T423" s="476" t="str">
        <f t="shared" ref="T423" si="587">T478</f>
        <v>Aguinaldo de bolsillo</v>
      </c>
      <c r="U423" s="477"/>
      <c r="V423" s="478"/>
      <c r="W423" s="476" t="str">
        <f t="shared" ref="W423" si="588">W478</f>
        <v>Aguinaldo de bolsillo</v>
      </c>
      <c r="X423" s="477"/>
      <c r="Y423" s="478"/>
      <c r="Z423" s="476" t="str">
        <f t="shared" ref="Z423" si="589">Z478</f>
        <v>Aguinaldo de bolsillo</v>
      </c>
      <c r="AA423" s="477"/>
      <c r="AB423" s="478"/>
      <c r="AC423" s="476" t="str">
        <f t="shared" ref="AC423" si="590">AC478</f>
        <v>Aguinaldo de bolsillo</v>
      </c>
      <c r="AD423" s="477"/>
      <c r="AE423" s="478"/>
      <c r="AF423" s="476" t="str">
        <f t="shared" ref="AF423" si="591">AF478</f>
        <v>Aguinaldo de bolsillo</v>
      </c>
      <c r="AG423" s="477"/>
      <c r="AH423" s="478"/>
      <c r="AI423" s="126"/>
      <c r="AJ423" s="126"/>
      <c r="AK423" s="126"/>
      <c r="AL423" s="126"/>
      <c r="AM423" s="126"/>
      <c r="AN423" s="126"/>
      <c r="AO423" s="126"/>
      <c r="AP423" s="126"/>
      <c r="AQ423" s="126"/>
      <c r="AR423" s="126"/>
      <c r="AS423" s="126"/>
      <c r="AT423" s="126"/>
      <c r="AU423" s="126"/>
    </row>
    <row r="424" spans="1:51" ht="16.5" thickBot="1">
      <c r="A424" s="126"/>
      <c r="B424" s="61"/>
      <c r="C424" s="61"/>
      <c r="D424" s="61"/>
      <c r="E424" s="479"/>
      <c r="F424" s="480">
        <f t="shared" ref="F424" si="592">F479</f>
        <v>128759.85790271248</v>
      </c>
      <c r="G424" s="214"/>
      <c r="H424" s="479"/>
      <c r="I424" s="480">
        <f t="shared" ref="I424" si="593">I479</f>
        <v>125312.19648350182</v>
      </c>
      <c r="J424" s="214"/>
      <c r="K424" s="479"/>
      <c r="L424" s="480">
        <f t="shared" ref="L424" si="594">L479</f>
        <v>125312.19648350182</v>
      </c>
      <c r="M424" s="214"/>
      <c r="N424" s="479"/>
      <c r="O424" s="480">
        <f t="shared" ref="O424" si="595">O479</f>
        <v>113712.22003288887</v>
      </c>
      <c r="P424" s="214"/>
      <c r="Q424" s="479"/>
      <c r="R424" s="480">
        <f t="shared" ref="R424" si="596">R479</f>
        <v>109201.01211446046</v>
      </c>
      <c r="S424" s="214"/>
      <c r="T424" s="479"/>
      <c r="U424" s="480">
        <f t="shared" ref="U424" si="597">U479</f>
        <v>96312.137666146184</v>
      </c>
      <c r="V424" s="214"/>
      <c r="W424" s="479"/>
      <c r="X424" s="480">
        <f t="shared" ref="X424" si="598">X479</f>
        <v>89764.587858932791</v>
      </c>
      <c r="Y424" s="214"/>
      <c r="Z424" s="479"/>
      <c r="AA424" s="480">
        <f t="shared" ref="AA424" si="599">AA479</f>
        <v>83320.149072305416</v>
      </c>
      <c r="AB424" s="214"/>
      <c r="AC424" s="479"/>
      <c r="AD424" s="480">
        <f t="shared" ref="AD424" si="600">AD479</f>
        <v>78113.042532710504</v>
      </c>
      <c r="AE424" s="214"/>
      <c r="AF424" s="479"/>
      <c r="AG424" s="480">
        <f t="shared" ref="AG424" si="601">AG479</f>
        <v>64444.387866273784</v>
      </c>
      <c r="AH424" s="214"/>
      <c r="AI424" s="126"/>
      <c r="AJ424" s="126"/>
      <c r="AK424" s="126"/>
      <c r="AL424" s="126"/>
      <c r="AM424" s="126"/>
      <c r="AN424" s="126"/>
      <c r="AO424" s="126"/>
      <c r="AP424" s="126"/>
      <c r="AQ424" s="126"/>
      <c r="AR424" s="126"/>
      <c r="AS424" s="126"/>
      <c r="AT424" s="126"/>
      <c r="AU424" s="126"/>
    </row>
    <row r="425" spans="1:51" ht="16.5" thickTop="1">
      <c r="A425" s="126"/>
      <c r="B425" s="61"/>
      <c r="C425" s="61"/>
      <c r="D425" s="61"/>
      <c r="E425" s="61"/>
      <c r="F425" s="61"/>
      <c r="G425" s="214"/>
      <c r="H425" s="61"/>
      <c r="I425" s="61"/>
      <c r="J425" s="214"/>
      <c r="K425" s="61"/>
      <c r="L425" s="61"/>
      <c r="M425" s="214"/>
      <c r="N425" s="61"/>
      <c r="O425" s="61"/>
      <c r="P425" s="214"/>
      <c r="Q425" s="61"/>
      <c r="R425" s="61"/>
      <c r="S425" s="214"/>
      <c r="T425" s="61"/>
      <c r="U425" s="61"/>
      <c r="V425" s="214"/>
      <c r="W425" s="61"/>
      <c r="X425" s="61"/>
      <c r="Y425" s="214"/>
      <c r="Z425" s="61"/>
      <c r="AA425" s="61"/>
      <c r="AB425" s="214"/>
      <c r="AC425" s="61"/>
      <c r="AD425" s="61"/>
      <c r="AE425" s="214"/>
      <c r="AF425" s="61"/>
      <c r="AG425" s="61"/>
      <c r="AH425" s="214"/>
      <c r="AI425" s="69"/>
      <c r="AJ425" s="126"/>
      <c r="AK425" s="195"/>
      <c r="AL425" s="126"/>
      <c r="AM425" s="126"/>
      <c r="AN425" s="126"/>
      <c r="AO425" s="126"/>
      <c r="AP425" s="126"/>
      <c r="AQ425" s="126"/>
      <c r="AR425" s="126"/>
      <c r="AS425" s="126"/>
      <c r="AT425" s="126"/>
      <c r="AU425" s="126"/>
      <c r="AV425" s="126"/>
      <c r="AW425" s="126"/>
      <c r="AX425" s="126"/>
      <c r="AY425" s="126"/>
    </row>
    <row r="426" spans="1:51" s="56" customFormat="1" ht="18">
      <c r="A426" s="55"/>
      <c r="B426" s="55"/>
      <c r="C426" s="481"/>
      <c r="D426" s="482"/>
      <c r="E426" s="40">
        <v>44927</v>
      </c>
      <c r="F426" s="823" t="s">
        <v>539</v>
      </c>
      <c r="G426" s="193"/>
      <c r="H426" s="40">
        <v>44896</v>
      </c>
      <c r="I426" s="187" t="s">
        <v>533</v>
      </c>
      <c r="J426" s="193"/>
      <c r="K426" s="40">
        <v>44866</v>
      </c>
      <c r="L426" s="187" t="s">
        <v>519</v>
      </c>
      <c r="M426" s="193"/>
      <c r="N426" s="40">
        <v>44835</v>
      </c>
      <c r="O426" s="187" t="s">
        <v>520</v>
      </c>
      <c r="P426" s="193"/>
      <c r="Q426" s="40">
        <v>44805</v>
      </c>
      <c r="R426" s="187" t="s">
        <v>516</v>
      </c>
      <c r="S426" s="193"/>
      <c r="T426" s="40">
        <v>44774</v>
      </c>
      <c r="U426" s="689" t="s">
        <v>510</v>
      </c>
      <c r="V426" s="193"/>
      <c r="W426" s="40">
        <v>44743</v>
      </c>
      <c r="X426" s="187" t="s">
        <v>495</v>
      </c>
      <c r="Y426" s="193"/>
      <c r="Z426" s="40">
        <v>44682</v>
      </c>
      <c r="AA426" s="187" t="s">
        <v>494</v>
      </c>
      <c r="AB426" s="193"/>
      <c r="AC426" s="40">
        <v>44621</v>
      </c>
      <c r="AD426" s="187" t="s">
        <v>493</v>
      </c>
      <c r="AE426" s="196"/>
      <c r="AF426" s="40">
        <v>44562</v>
      </c>
      <c r="AG426" s="588">
        <v>8.8999999999999996E-2</v>
      </c>
      <c r="AH426" s="483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</row>
    <row r="427" spans="1:51" hidden="1">
      <c r="A427" s="126"/>
      <c r="B427" s="445"/>
      <c r="C427" s="446"/>
      <c r="D427" s="447"/>
      <c r="E427" s="447"/>
      <c r="F427" s="447"/>
      <c r="G427" s="447"/>
      <c r="H427" s="447"/>
      <c r="I427" s="447"/>
      <c r="J427" s="447"/>
      <c r="K427" s="447"/>
      <c r="L427" s="447"/>
      <c r="M427" s="448"/>
      <c r="N427" s="447"/>
      <c r="O427" s="447"/>
      <c r="P427" s="448"/>
      <c r="Q427" s="447"/>
      <c r="R427" s="447"/>
      <c r="S427" s="448"/>
      <c r="T427" s="447"/>
      <c r="U427" s="447"/>
      <c r="V427" s="448"/>
      <c r="W427" s="447"/>
      <c r="X427" s="447"/>
      <c r="Y427" s="448"/>
      <c r="Z427" s="447"/>
      <c r="AA427" s="447"/>
      <c r="AB427" s="448"/>
      <c r="AC427" s="447"/>
      <c r="AD427" s="447"/>
      <c r="AE427" s="448"/>
      <c r="AF427" s="447"/>
      <c r="AG427" s="447"/>
      <c r="AH427" s="448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  <c r="AT427" s="126"/>
      <c r="AU427" s="126"/>
      <c r="AV427" s="126"/>
    </row>
    <row r="428" spans="1:51" hidden="1">
      <c r="A428" s="126"/>
      <c r="B428" s="445"/>
      <c r="C428" s="446"/>
      <c r="D428" s="447"/>
      <c r="E428" s="447"/>
      <c r="F428" s="447"/>
      <c r="G428" s="447"/>
      <c r="H428" s="447"/>
      <c r="I428" s="447"/>
      <c r="J428" s="447"/>
      <c r="K428" s="447">
        <f>5141/12</f>
        <v>428.41666666666669</v>
      </c>
      <c r="L428" s="447"/>
      <c r="M428" s="448"/>
      <c r="N428" s="447">
        <f>5141/12</f>
        <v>428.41666666666669</v>
      </c>
      <c r="O428" s="447"/>
      <c r="P428" s="448"/>
      <c r="Q428" s="447">
        <f>5141/12</f>
        <v>428.41666666666669</v>
      </c>
      <c r="R428" s="447"/>
      <c r="S428" s="448"/>
      <c r="T428" s="447">
        <f>5141/12</f>
        <v>428.41666666666669</v>
      </c>
      <c r="U428" s="447"/>
      <c r="V428" s="448"/>
      <c r="W428" s="447"/>
      <c r="X428" s="447"/>
      <c r="Y428" s="448"/>
      <c r="Z428" s="447"/>
      <c r="AA428" s="447"/>
      <c r="AB428" s="448"/>
      <c r="AC428" s="447"/>
      <c r="AD428" s="447"/>
      <c r="AE428" s="448"/>
      <c r="AF428" s="447"/>
      <c r="AG428" s="447"/>
      <c r="AH428" s="448"/>
      <c r="AI428" s="126"/>
      <c r="AJ428" s="126"/>
      <c r="AK428" s="126"/>
      <c r="AL428" s="126"/>
      <c r="AM428" s="126"/>
      <c r="AN428" s="126"/>
      <c r="AO428" s="126"/>
      <c r="AP428" s="126"/>
      <c r="AQ428" s="126"/>
      <c r="AR428" s="126"/>
      <c r="AS428" s="126"/>
      <c r="AT428" s="126"/>
      <c r="AU428" s="126"/>
      <c r="AV428" s="126"/>
    </row>
    <row r="429" spans="1:51" hidden="1">
      <c r="A429" s="126"/>
      <c r="B429" s="445"/>
      <c r="C429" s="446"/>
      <c r="D429" s="447"/>
      <c r="E429" s="447"/>
      <c r="F429" s="447"/>
      <c r="G429" s="447"/>
      <c r="H429" s="447"/>
      <c r="I429" s="447"/>
      <c r="J429" s="447"/>
      <c r="K429" s="447">
        <f>5141*2</f>
        <v>10282</v>
      </c>
      <c r="L429" s="447"/>
      <c r="M429" s="448"/>
      <c r="N429" s="447">
        <f>5141*2</f>
        <v>10282</v>
      </c>
      <c r="O429" s="447"/>
      <c r="P429" s="448"/>
      <c r="Q429" s="447">
        <f>5141*2</f>
        <v>10282</v>
      </c>
      <c r="R429" s="447"/>
      <c r="S429" s="448"/>
      <c r="T429" s="447">
        <f>5141*2</f>
        <v>10282</v>
      </c>
      <c r="U429" s="447"/>
      <c r="V429" s="448"/>
      <c r="W429" s="447"/>
      <c r="X429" s="447"/>
      <c r="Y429" s="448"/>
      <c r="Z429" s="447"/>
      <c r="AA429" s="447"/>
      <c r="AB429" s="448"/>
      <c r="AC429" s="447">
        <f>3907/12</f>
        <v>325.58333333333331</v>
      </c>
      <c r="AD429" s="447"/>
      <c r="AE429" s="448"/>
      <c r="AF429" s="447"/>
      <c r="AG429" s="447"/>
      <c r="AH429" s="448"/>
      <c r="AI429" s="126"/>
      <c r="AJ429" s="126"/>
      <c r="AK429" s="126"/>
      <c r="AL429" s="126"/>
      <c r="AM429" s="126"/>
      <c r="AN429" s="126"/>
      <c r="AO429" s="126"/>
      <c r="AP429" s="126"/>
      <c r="AQ429" s="126"/>
      <c r="AR429" s="126"/>
      <c r="AS429" s="126"/>
      <c r="AT429" s="126"/>
      <c r="AU429" s="126"/>
      <c r="AV429" s="126"/>
    </row>
    <row r="430" spans="1:51" hidden="1">
      <c r="A430" s="126"/>
      <c r="B430" s="445"/>
      <c r="C430" s="446"/>
      <c r="D430" s="447"/>
      <c r="E430" s="447"/>
      <c r="F430" s="447"/>
      <c r="G430" s="447"/>
      <c r="H430" s="447"/>
      <c r="I430" s="447"/>
      <c r="J430" s="447"/>
      <c r="K430" s="447"/>
      <c r="L430" s="447"/>
      <c r="M430" s="448"/>
      <c r="N430" s="447"/>
      <c r="O430" s="447"/>
      <c r="P430" s="448"/>
      <c r="Q430" s="447"/>
      <c r="R430" s="447"/>
      <c r="S430" s="448"/>
      <c r="T430" s="447"/>
      <c r="U430" s="447"/>
      <c r="V430" s="448"/>
      <c r="W430" s="447"/>
      <c r="X430" s="447"/>
      <c r="Y430" s="448"/>
      <c r="Z430" s="447"/>
      <c r="AA430" s="447"/>
      <c r="AB430" s="448"/>
      <c r="AC430" s="447">
        <f>3907*2</f>
        <v>7814</v>
      </c>
      <c r="AD430" s="447"/>
      <c r="AE430" s="448"/>
      <c r="AF430" s="447"/>
      <c r="AG430" s="447"/>
      <c r="AH430" s="448"/>
      <c r="AI430" s="126"/>
      <c r="AJ430" s="126"/>
      <c r="AK430" s="126"/>
      <c r="AL430" s="126"/>
      <c r="AM430" s="126"/>
      <c r="AN430" s="126"/>
      <c r="AO430" s="126"/>
      <c r="AP430" s="126"/>
      <c r="AQ430" s="126"/>
      <c r="AR430" s="126"/>
    </row>
    <row r="431" spans="1:51" hidden="1">
      <c r="A431" s="126"/>
      <c r="B431" s="445"/>
      <c r="C431" s="446"/>
      <c r="D431" s="447"/>
      <c r="E431" s="447"/>
      <c r="F431" s="447"/>
      <c r="G431" s="447"/>
      <c r="H431" s="447"/>
      <c r="I431" s="447"/>
      <c r="J431" s="447"/>
      <c r="K431" s="447"/>
      <c r="L431" s="447"/>
      <c r="M431" s="448"/>
      <c r="N431" s="447"/>
      <c r="O431" s="447"/>
      <c r="P431" s="448"/>
      <c r="Q431" s="447"/>
      <c r="R431" s="447"/>
      <c r="S431" s="448"/>
      <c r="T431" s="447"/>
      <c r="U431" s="447"/>
      <c r="V431" s="448"/>
      <c r="W431" s="447"/>
      <c r="X431" s="447"/>
      <c r="Y431" s="448"/>
      <c r="Z431" s="447"/>
      <c r="AA431" s="447"/>
      <c r="AB431" s="448"/>
      <c r="AC431" s="447"/>
      <c r="AD431" s="447"/>
      <c r="AE431" s="448"/>
      <c r="AF431" s="447"/>
      <c r="AG431" s="447"/>
      <c r="AH431" s="448"/>
      <c r="AI431" s="126"/>
      <c r="AJ431" s="126"/>
      <c r="AK431" s="126"/>
      <c r="AL431" s="126"/>
      <c r="AM431" s="126"/>
      <c r="AN431" s="126"/>
      <c r="AO431" s="126"/>
      <c r="AP431" s="126"/>
      <c r="AQ431" s="126"/>
      <c r="AR431" s="126"/>
    </row>
    <row r="432" spans="1:51" ht="18.75" hidden="1" thickBot="1">
      <c r="A432" s="126"/>
      <c r="B432" s="445"/>
      <c r="C432" s="446"/>
      <c r="D432" s="447"/>
      <c r="E432" s="447"/>
      <c r="F432" s="447"/>
      <c r="G432" s="447"/>
      <c r="H432" s="447"/>
      <c r="I432" s="447"/>
      <c r="J432" s="447"/>
      <c r="K432" s="40">
        <v>44866</v>
      </c>
      <c r="L432" s="187" t="s">
        <v>519</v>
      </c>
      <c r="M432" s="193"/>
      <c r="N432" s="40">
        <v>44835</v>
      </c>
      <c r="O432" s="187" t="s">
        <v>520</v>
      </c>
      <c r="P432" s="193"/>
      <c r="Q432" s="40">
        <v>44805</v>
      </c>
      <c r="R432" s="187" t="s">
        <v>516</v>
      </c>
      <c r="S432" s="193"/>
      <c r="T432" s="40">
        <v>44774</v>
      </c>
      <c r="U432" s="689" t="s">
        <v>510</v>
      </c>
      <c r="V432" s="193"/>
      <c r="W432" s="40">
        <v>44743</v>
      </c>
      <c r="X432" s="187" t="s">
        <v>495</v>
      </c>
      <c r="Y432" s="193"/>
      <c r="Z432" s="40">
        <v>44682</v>
      </c>
      <c r="AA432" s="187" t="s">
        <v>494</v>
      </c>
      <c r="AB432" s="193"/>
      <c r="AC432" s="187" t="s">
        <v>492</v>
      </c>
      <c r="AD432" s="187" t="s">
        <v>493</v>
      </c>
      <c r="AE432" s="448"/>
      <c r="AF432" s="187">
        <v>44562</v>
      </c>
      <c r="AG432" s="187">
        <v>8.8999999999999996E-2</v>
      </c>
      <c r="AH432" s="448"/>
      <c r="AI432" s="126"/>
      <c r="AJ432" s="126"/>
      <c r="AK432" s="126"/>
      <c r="AL432" s="126"/>
      <c r="AM432" s="126"/>
      <c r="AN432" s="126"/>
      <c r="AO432" s="126"/>
      <c r="AP432" s="126"/>
      <c r="AQ432" s="126"/>
      <c r="AR432" s="126"/>
    </row>
    <row r="433" spans="1:48" ht="13.5" hidden="1" thickBot="1">
      <c r="A433" s="61"/>
      <c r="B433" s="484" t="s">
        <v>65</v>
      </c>
      <c r="C433" s="484" t="s">
        <v>66</v>
      </c>
      <c r="D433" s="484" t="s">
        <v>67</v>
      </c>
      <c r="E433" s="484" t="s">
        <v>68</v>
      </c>
      <c r="F433" s="484" t="s">
        <v>69</v>
      </c>
      <c r="G433" s="485"/>
      <c r="H433" s="484" t="s">
        <v>68</v>
      </c>
      <c r="I433" s="484" t="s">
        <v>69</v>
      </c>
      <c r="J433" s="485"/>
      <c r="K433" s="484" t="s">
        <v>68</v>
      </c>
      <c r="L433" s="484" t="s">
        <v>69</v>
      </c>
      <c r="M433" s="485"/>
      <c r="N433" s="484" t="s">
        <v>68</v>
      </c>
      <c r="O433" s="484" t="s">
        <v>69</v>
      </c>
      <c r="P433" s="485"/>
      <c r="Q433" s="484" t="s">
        <v>68</v>
      </c>
      <c r="R433" s="484" t="s">
        <v>69</v>
      </c>
      <c r="S433" s="485"/>
      <c r="T433" s="484" t="s">
        <v>68</v>
      </c>
      <c r="U433" s="484" t="s">
        <v>69</v>
      </c>
      <c r="V433" s="485"/>
      <c r="W433" s="484" t="s">
        <v>68</v>
      </c>
      <c r="X433" s="484" t="s">
        <v>69</v>
      </c>
      <c r="Y433" s="485"/>
      <c r="Z433" s="484" t="s">
        <v>68</v>
      </c>
      <c r="AA433" s="484" t="s">
        <v>69</v>
      </c>
      <c r="AB433" s="485"/>
      <c r="AC433" s="484" t="s">
        <v>68</v>
      </c>
      <c r="AD433" s="484" t="s">
        <v>69</v>
      </c>
      <c r="AE433" s="485"/>
      <c r="AF433" s="484" t="s">
        <v>68</v>
      </c>
      <c r="AG433" s="484" t="s">
        <v>69</v>
      </c>
      <c r="AH433" s="485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</row>
    <row r="434" spans="1:48" hidden="1" thickBot="1">
      <c r="A434" s="61"/>
      <c r="B434" s="757">
        <v>4</v>
      </c>
      <c r="C434" s="487">
        <v>36</v>
      </c>
      <c r="D434" s="488" t="s">
        <v>122</v>
      </c>
      <c r="E434" s="489">
        <f>indiceene23*punbashorsup</f>
        <v>120552.26831999999</v>
      </c>
      <c r="F434" s="488"/>
      <c r="G434" s="490"/>
      <c r="H434" s="489">
        <f>indicenov22*punbashorsup</f>
        <v>117324.3852</v>
      </c>
      <c r="I434" s="488"/>
      <c r="J434" s="490"/>
      <c r="K434" s="489">
        <f>indicenov22*punbashorsup</f>
        <v>117324.3852</v>
      </c>
      <c r="L434" s="488"/>
      <c r="M434" s="490"/>
      <c r="N434" s="489">
        <f>indiceoct22*punbashorsup</f>
        <v>106463.83176</v>
      </c>
      <c r="O434" s="488"/>
      <c r="P434" s="490"/>
      <c r="Q434" s="489">
        <f>indicesep22*punbashorsup</f>
        <v>102240.17892000001</v>
      </c>
      <c r="R434" s="488"/>
      <c r="S434" s="490"/>
      <c r="T434" s="489">
        <f>indiceene22*punbashorsup*Aumento5</f>
        <v>90172.917602460002</v>
      </c>
      <c r="U434" s="488"/>
      <c r="V434" s="490"/>
      <c r="W434" s="489">
        <f>indiceene22*punbashorsup*Aumento3</f>
        <v>84042.727954811999</v>
      </c>
      <c r="X434" s="488"/>
      <c r="Y434" s="490"/>
      <c r="Z434" s="489">
        <f>indiceene22*punbashorsup*Aumento2</f>
        <v>78009.076726811996</v>
      </c>
      <c r="AA434" s="488"/>
      <c r="AB434" s="490"/>
      <c r="AC434" s="489">
        <f>indiceene22*punbashorsup*Aumento1</f>
        <v>73133.886534588004</v>
      </c>
      <c r="AD434" s="488"/>
      <c r="AE434" s="490"/>
      <c r="AF434" s="489">
        <f>indiceene22*punbashorsup</f>
        <v>60336.512280000003</v>
      </c>
      <c r="AG434" s="488"/>
      <c r="AH434" s="490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</row>
    <row r="435" spans="1:48" ht="13.5" hidden="1" thickBot="1">
      <c r="A435" s="61"/>
      <c r="B435" s="758">
        <v>10</v>
      </c>
      <c r="C435" s="491">
        <v>1.2</v>
      </c>
      <c r="D435" s="492" t="s">
        <v>76</v>
      </c>
      <c r="E435" s="493">
        <f>E434*porantighorsup</f>
        <v>144662.72198399997</v>
      </c>
      <c r="F435" s="492"/>
      <c r="G435" s="494"/>
      <c r="H435" s="493">
        <f>H434*porantighorsup</f>
        <v>140789.26224000001</v>
      </c>
      <c r="I435" s="492"/>
      <c r="J435" s="494"/>
      <c r="K435" s="493">
        <f>K434*porantighorsup</f>
        <v>140789.26224000001</v>
      </c>
      <c r="L435" s="492"/>
      <c r="M435" s="494"/>
      <c r="N435" s="493">
        <f>N434*porantighorsup</f>
        <v>127756.59811199999</v>
      </c>
      <c r="O435" s="492"/>
      <c r="P435" s="494"/>
      <c r="Q435" s="493">
        <f>Q434*porantighorsup</f>
        <v>122688.214704</v>
      </c>
      <c r="R435" s="492"/>
      <c r="S435" s="494"/>
      <c r="T435" s="493">
        <f>T434*porantighorsup</f>
        <v>108207.501122952</v>
      </c>
      <c r="U435" s="492"/>
      <c r="V435" s="494"/>
      <c r="W435" s="493">
        <f>W434*porantighorsup</f>
        <v>100851.2735457744</v>
      </c>
      <c r="X435" s="492"/>
      <c r="Y435" s="494"/>
      <c r="Z435" s="493">
        <f>Z434*porantighorsup</f>
        <v>93610.892072174393</v>
      </c>
      <c r="AA435" s="492"/>
      <c r="AB435" s="494"/>
      <c r="AC435" s="493">
        <f>AC434*porantighorsup</f>
        <v>87760.663841505608</v>
      </c>
      <c r="AD435" s="492"/>
      <c r="AE435" s="494"/>
      <c r="AF435" s="493">
        <f>AF434*porantighorsup</f>
        <v>72403.814736</v>
      </c>
      <c r="AG435" s="492"/>
      <c r="AH435" s="494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</row>
    <row r="436" spans="1:48" ht="16.5" hidden="1" thickBot="1">
      <c r="A436" s="61"/>
      <c r="B436" s="757">
        <v>6</v>
      </c>
      <c r="C436" s="495">
        <f>Q436/525.06</f>
        <v>17</v>
      </c>
      <c r="D436" s="488" t="s">
        <v>75</v>
      </c>
      <c r="E436" s="489">
        <f>IF(canthor06sup&gt;17,17*525.06,525.06*canthor06sup)/1.6945*1.998</f>
        <v>10524.749460017703</v>
      </c>
      <c r="F436" s="488"/>
      <c r="G436" s="490"/>
      <c r="H436" s="489">
        <f>IF(canthor06sup&gt;17,17*525.06,525.06*canthor06sup)/1.6945*1.9445</f>
        <v>10242.930593095307</v>
      </c>
      <c r="I436" s="488"/>
      <c r="J436" s="490"/>
      <c r="K436" s="489">
        <f>IF(canthor06sup&gt;17,17*525.06,525.06*canthor06sup)/1.6945*1.9445</f>
        <v>10242.930593095307</v>
      </c>
      <c r="L436" s="488"/>
      <c r="M436" s="490"/>
      <c r="N436" s="489">
        <f>IF(canthor06sup&gt;17,17*525.06,525.06*canthor06sup)/1.6945*1.7645</f>
        <v>9294.7549660666864</v>
      </c>
      <c r="O436" s="488"/>
      <c r="P436" s="490"/>
      <c r="Q436" s="489">
        <f>IF(canthor06sup&gt;17,17*525.06,525.06*canthor06sup)</f>
        <v>8926.0199999999986</v>
      </c>
      <c r="R436" s="488"/>
      <c r="S436" s="490"/>
      <c r="T436" s="489">
        <f>IF(canthor06sup&gt;17,17*309.8579,309.8579*canthor06sup)*Aumento5</f>
        <v>7872.4047363499985</v>
      </c>
      <c r="U436" s="488"/>
      <c r="V436" s="490"/>
      <c r="W436" s="489">
        <f>IF(canthor06sup&gt;17,17*309.8579,309.8579*canthor06sup)*Aumento3</f>
        <v>7337.2181714699991</v>
      </c>
      <c r="X436" s="488"/>
      <c r="Y436" s="490"/>
      <c r="Z436" s="489">
        <f>IF(canthor06sup&gt;17,17*309.8579,309.8579*canthor06sup)*Aumento2</f>
        <v>6810.4597414699992</v>
      </c>
      <c r="AA436" s="488"/>
      <c r="AB436" s="490"/>
      <c r="AC436" s="489">
        <f>IF(canthor06sup&gt;17,17*309.8579,309.8579*canthor06sup)*Aumento1</f>
        <v>6384.8389300299996</v>
      </c>
      <c r="AD436" s="488"/>
      <c r="AE436" s="490"/>
      <c r="AF436" s="489">
        <f>IF(canthor06sup&gt;17,17*309.8579,309.8579*canthor06sup)</f>
        <v>5267.5842999999995</v>
      </c>
      <c r="AG436" s="488"/>
      <c r="AH436" s="490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</row>
    <row r="437" spans="1:48" ht="13.5" hidden="1" thickBot="1">
      <c r="A437" s="61"/>
      <c r="B437" s="758">
        <v>14</v>
      </c>
      <c r="C437" s="491">
        <v>7.0000000000000007E-2</v>
      </c>
      <c r="D437" s="492" t="s">
        <v>123</v>
      </c>
      <c r="E437" s="493">
        <f>E436*0.07</f>
        <v>736.73246220123929</v>
      </c>
      <c r="F437" s="492"/>
      <c r="G437" s="494"/>
      <c r="H437" s="493">
        <f>H436*0.07</f>
        <v>717.00514151667153</v>
      </c>
      <c r="I437" s="492"/>
      <c r="J437" s="494"/>
      <c r="K437" s="493">
        <f>K436*0.07</f>
        <v>717.00514151667153</v>
      </c>
      <c r="L437" s="492"/>
      <c r="M437" s="494"/>
      <c r="N437" s="493">
        <f>N436*0.07</f>
        <v>650.6328476246681</v>
      </c>
      <c r="O437" s="492"/>
      <c r="P437" s="494"/>
      <c r="Q437" s="493">
        <f>Q436*0.07</f>
        <v>624.82139999999993</v>
      </c>
      <c r="R437" s="492"/>
      <c r="S437" s="494"/>
      <c r="T437" s="493">
        <f>T436*0.07</f>
        <v>551.06833154449998</v>
      </c>
      <c r="U437" s="492"/>
      <c r="V437" s="494"/>
      <c r="W437" s="493">
        <f>W436*0.07</f>
        <v>513.60527200289994</v>
      </c>
      <c r="X437" s="492"/>
      <c r="Y437" s="494"/>
      <c r="Z437" s="493">
        <f>Z436*0.07</f>
        <v>476.73218190289998</v>
      </c>
      <c r="AA437" s="492"/>
      <c r="AB437" s="494"/>
      <c r="AC437" s="493">
        <f>AC436*0.07</f>
        <v>446.93872510210002</v>
      </c>
      <c r="AD437" s="492"/>
      <c r="AE437" s="494"/>
      <c r="AF437" s="493">
        <f>AF436*0.07</f>
        <v>368.73090100000002</v>
      </c>
      <c r="AG437" s="492"/>
      <c r="AH437" s="494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</row>
    <row r="438" spans="1:48" ht="13.5" hidden="1" thickBot="1">
      <c r="A438" s="61"/>
      <c r="B438" s="758">
        <v>188</v>
      </c>
      <c r="C438" s="491">
        <v>7.0000000000000007E-2</v>
      </c>
      <c r="D438" s="492" t="s">
        <v>78</v>
      </c>
      <c r="E438" s="493">
        <f>(E434+E435+E439+E441)*0.07</f>
        <v>20062.136934798593</v>
      </c>
      <c r="F438" s="492"/>
      <c r="G438" s="494"/>
      <c r="H438" s="493">
        <f>(H434+H435+H439+H441)*0.07</f>
        <v>19524.955753476133</v>
      </c>
      <c r="I438" s="492"/>
      <c r="J438" s="494"/>
      <c r="K438" s="493">
        <f>(K434+K435+K439+K441)*0.07</f>
        <v>19524.955753476133</v>
      </c>
      <c r="L438" s="492"/>
      <c r="M438" s="494"/>
      <c r="N438" s="493">
        <f>(N434+N435+N439+N441)*0.07</f>
        <v>17717.55776574148</v>
      </c>
      <c r="O438" s="492"/>
      <c r="P438" s="494"/>
      <c r="Q438" s="493">
        <f>(Q434+Q435+Q439+Q441)*0.07</f>
        <v>17014.663653680003</v>
      </c>
      <c r="R438" s="492"/>
      <c r="S438" s="494"/>
      <c r="T438" s="493">
        <f>(T434+T435+T439+T441)*0.07</f>
        <v>15006.447848518346</v>
      </c>
      <c r="U438" s="492"/>
      <c r="V438" s="494"/>
      <c r="W438" s="493">
        <f>(W434+W435+W439+W441)*0.07</f>
        <v>13986.270463834866</v>
      </c>
      <c r="X438" s="492"/>
      <c r="Y438" s="494"/>
      <c r="Z438" s="493">
        <f>(Z434+Z435+Z439+Z441)*0.07</f>
        <v>12982.15886473695</v>
      </c>
      <c r="AA438" s="492"/>
      <c r="AB438" s="494"/>
      <c r="AC438" s="493">
        <f>(AC434+AC435+AC439+AC441)*0.07</f>
        <v>12170.836692665833</v>
      </c>
      <c r="AD438" s="492"/>
      <c r="AE438" s="494"/>
      <c r="AF438" s="493">
        <f>(AF434+AF435+AF439+AF441)*0.07</f>
        <v>10041.115990979157</v>
      </c>
      <c r="AG438" s="492"/>
      <c r="AH438" s="494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</row>
    <row r="439" spans="1:48" ht="16.5" hidden="1" thickBot="1">
      <c r="A439" s="61"/>
      <c r="B439" s="757">
        <v>117</v>
      </c>
      <c r="C439" s="496"/>
      <c r="D439" s="488" t="s">
        <v>84</v>
      </c>
      <c r="E439" s="489">
        <f>IF(canthorsup*99.095333&gt;2972.86,2972.86,canthorsup*99.095333)*1.509/1.42*1.998</f>
        <v>6312.0559074084504</v>
      </c>
      <c r="F439" s="486"/>
      <c r="G439" s="490"/>
      <c r="H439" s="489">
        <f>IF(canthorsup*99.095333&gt;2972.86,2972.86,canthorsup*99.095333)*1.509/1.42*Aumento8</f>
        <v>6143.0393953732382</v>
      </c>
      <c r="I439" s="486"/>
      <c r="J439" s="490"/>
      <c r="K439" s="489">
        <f>IF(canthorsup*99.095333&gt;2972.86,2972.86,canthorsup*99.095333)*1.509/1.42*Aumento8</f>
        <v>6143.0393953732382</v>
      </c>
      <c r="L439" s="486"/>
      <c r="M439" s="490"/>
      <c r="N439" s="489">
        <f>IF(canthorsup*99.095333&gt;2972.86,2972.86,canthorsup*99.095333)*1.509/1.42*Aumento7</f>
        <v>5574.3857100211262</v>
      </c>
      <c r="O439" s="486"/>
      <c r="P439" s="490"/>
      <c r="Q439" s="489">
        <f>IF(canthorsup*178.441&gt;5353.23,5353.23,canthorsup*178.441)</f>
        <v>5353.23</v>
      </c>
      <c r="R439" s="486"/>
      <c r="S439" s="490"/>
      <c r="T439" s="489">
        <f>IF(canthorsup*99.095333&gt;2972.86,2972.86,canthorsup*99.095333)*1.509/1.42*Aumento5</f>
        <v>4721.4051819929573</v>
      </c>
      <c r="U439" s="486"/>
      <c r="V439" s="490"/>
      <c r="W439" s="489">
        <f>IF(canthorsup*99.095333&gt;2972.86,2972.86,canthorsup*99.095333)*1.509/1.42*Aumento3</f>
        <v>4400.4317684830985</v>
      </c>
      <c r="X439" s="486"/>
      <c r="Y439" s="490"/>
      <c r="Z439" s="489">
        <f>IF(canthorsup*99.095333&gt;2972.86,2972.86,canthorsup*99.095333)*1.509/1.42*Aumento2</f>
        <v>4084.5130543985911</v>
      </c>
      <c r="AA439" s="486"/>
      <c r="AB439" s="490"/>
      <c r="AC439" s="489">
        <f>IF(canthorsup*99.095333&gt;2972.86,2972.86,canthorsup*99.095333)*1.509/1.42*Aumento1</f>
        <v>3829.2507334183092</v>
      </c>
      <c r="AD439" s="486"/>
      <c r="AE439" s="490"/>
      <c r="AF439" s="489">
        <f>IF(canthorsup*99.095333&gt;2972.86,2972.86,canthorsup*99.095333)*1.509/1.42</f>
        <v>3159.1871408450702</v>
      </c>
      <c r="AG439" s="486"/>
      <c r="AH439" s="490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</row>
    <row r="440" spans="1:48" ht="13.5" hidden="1" thickBot="1">
      <c r="A440" s="61"/>
      <c r="B440" s="757">
        <v>29</v>
      </c>
      <c r="C440" s="486">
        <f>cantkmhs</f>
        <v>0</v>
      </c>
      <c r="D440" s="488" t="s">
        <v>85</v>
      </c>
      <c r="E440" s="489">
        <f>IF(kmsemhssup&lt;300,kmsemhssup*14.3004*4,17160.5)</f>
        <v>0</v>
      </c>
      <c r="F440" s="764"/>
      <c r="G440" s="490"/>
      <c r="H440" s="489">
        <f>IF(kmsemhssup&lt;300,kmsemhssup*13.9175*4,16701)</f>
        <v>0</v>
      </c>
      <c r="I440" s="764"/>
      <c r="J440" s="490"/>
      <c r="K440" s="489">
        <f>IF(kmsemhssup&lt;300,kmsemhssup*13.9175*4,16701)</f>
        <v>0</v>
      </c>
      <c r="L440" s="764"/>
      <c r="M440" s="490"/>
      <c r="N440" s="489">
        <f>IF(kmsemhssup&lt;300,kmsemhssup*12.6292*4,15155)</f>
        <v>0</v>
      </c>
      <c r="O440" s="497"/>
      <c r="P440" s="490"/>
      <c r="Q440" s="489">
        <f>IF(kmsemhssup&lt;300,kmsemhssup*12.1283*4,14554)</f>
        <v>0</v>
      </c>
      <c r="R440" s="497"/>
      <c r="S440" s="490"/>
      <c r="T440" s="489">
        <f>IF(kmsemhssup&lt;300,kmsemhssup*4.3141666*4,5177)*1.659*Aumento5</f>
        <v>0</v>
      </c>
      <c r="U440" s="497"/>
      <c r="V440" s="490"/>
      <c r="W440" s="489">
        <f>IF(kmsemhssup&lt;300,kmsemhssup*4.3141666*4,5177)*1.659*Aumento3</f>
        <v>0</v>
      </c>
      <c r="X440" s="497"/>
      <c r="Y440" s="490"/>
      <c r="Z440" s="489">
        <f>IF(kmsemhssup&lt;300,kmsemhssup*4.3141666*4,5177)*1.659*Aumento2</f>
        <v>0</v>
      </c>
      <c r="AA440" s="497"/>
      <c r="AB440" s="490"/>
      <c r="AC440" s="489">
        <f>IF(kmsemhssup&lt;300,kmsemhssup*4.3141666*4,5177)*1.659*Aumento1</f>
        <v>0</v>
      </c>
      <c r="AD440" s="497"/>
      <c r="AE440" s="490"/>
      <c r="AF440" s="489">
        <f>IF(kmsemhssup&lt;300,kmsemhssup*4.3141666*4,5177)*1.659</f>
        <v>0</v>
      </c>
      <c r="AG440" s="497"/>
      <c r="AH440" s="490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</row>
    <row r="441" spans="1:48" ht="16.5" hidden="1" thickBot="1">
      <c r="A441" s="61"/>
      <c r="B441" s="759">
        <v>38</v>
      </c>
      <c r="C441" s="498">
        <f>C386</f>
        <v>15</v>
      </c>
      <c r="D441" s="499" t="s">
        <v>125</v>
      </c>
      <c r="E441" s="500">
        <f>IF($C441="",IF(canthorsup&lt;15,473.333*canthorsup,7100),IF($C441&lt;15,473.333*$C441,7100))*1.509/1.42*1.998</f>
        <v>15074.91</v>
      </c>
      <c r="F441" s="735"/>
      <c r="G441" s="502"/>
      <c r="H441" s="500">
        <f>IF($C441="",IF(canthorsup&lt;15,473.333*canthorsup,7100),IF($C441&lt;15,473.333*$C441,7100))*1.509/1.42*Aumento8</f>
        <v>14671.252499999999</v>
      </c>
      <c r="I441" s="735"/>
      <c r="J441" s="502"/>
      <c r="K441" s="500">
        <f>IF(C441="",IF(canthorsup&lt;15,473.333*canthorsup,7100),IF(C441&lt;15,473.333*C441,7100))*1.509/1.42*Aumento8</f>
        <v>14671.252499999999</v>
      </c>
      <c r="L441" s="735"/>
      <c r="M441" s="502"/>
      <c r="N441" s="500">
        <f>IF(C441="",IF(canthorsup&lt;15,473.333*canthorsup,7100),IF(C441&lt;15,473.333*C441,7100))*1.509/1.42*Aumento7</f>
        <v>13313.1525</v>
      </c>
      <c r="O441" s="501"/>
      <c r="P441" s="502"/>
      <c r="Q441" s="500">
        <f>IF(C441="",IF(canthorsup&lt;15,852.333*canthorsup,12785),IF(C441&lt;15,852.333*C441,12785))</f>
        <v>12785</v>
      </c>
      <c r="R441" s="735"/>
      <c r="S441" s="502"/>
      <c r="T441" s="500">
        <f>IF(C441="",IF(canthorsup&lt;15,473.333*canthorsup,7100),IF(C441&lt;15,473.333*C441,7100))*1.509/1.42*Aumento5</f>
        <v>11276.002499999999</v>
      </c>
      <c r="U441" s="501"/>
      <c r="V441" s="502"/>
      <c r="W441" s="500">
        <f>IF(C441="",IF(canthorsup&lt;15,473.333*canthorsup,7100),IF(C441&lt;15,473.333*C441,7100))*1.509/1.42*Aumento3</f>
        <v>10509.4305</v>
      </c>
      <c r="X441" s="501"/>
      <c r="Y441" s="502"/>
      <c r="Z441" s="500">
        <f>IF(C441="",IF(canthorsup&lt;15,473.333*canthorsup,7100),IF(C441&lt;15,473.333*C441,7100))*1.509/1.42*Aumento2</f>
        <v>9754.9305000000004</v>
      </c>
      <c r="AA441" s="501"/>
      <c r="AB441" s="502"/>
      <c r="AC441" s="500">
        <f>IF(C441="",IF(canthorsup&lt;15,473.333*canthorsup,7100),IF(C441&lt;15,473.333*C441,7100))*1.509/1.42*Aumento1</f>
        <v>9145.2945</v>
      </c>
      <c r="AD441" s="501"/>
      <c r="AE441" s="502"/>
      <c r="AF441" s="500">
        <f>IF(C441="",IF(canthorsup&lt;15,473.333*canthorsup,7100),IF(C441&lt;15,473.333*C441,7100))*1.509/1.42</f>
        <v>7545</v>
      </c>
      <c r="AG441" s="501"/>
      <c r="AH441" s="502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</row>
    <row r="442" spans="1:48" ht="16.5" hidden="1" thickBot="1">
      <c r="A442" s="61"/>
      <c r="B442" s="759"/>
      <c r="C442" s="503"/>
      <c r="D442" s="504" t="s">
        <v>132</v>
      </c>
      <c r="E442" s="505">
        <f>SUM(E434:E441)</f>
        <v>317925.57506842603</v>
      </c>
      <c r="F442" s="249"/>
      <c r="G442" s="506"/>
      <c r="H442" s="505">
        <f>SUM(H434:H441)</f>
        <v>309412.83082346141</v>
      </c>
      <c r="I442" s="501"/>
      <c r="J442" s="506"/>
      <c r="K442" s="505">
        <f>SUM(K434:K441)</f>
        <v>309412.83082346141</v>
      </c>
      <c r="L442" s="501"/>
      <c r="M442" s="506"/>
      <c r="N442" s="505">
        <f>SUM(N434:N441)</f>
        <v>280770.91366145399</v>
      </c>
      <c r="O442" s="501"/>
      <c r="P442" s="506"/>
      <c r="Q442" s="505">
        <f>SUM(Q434:Q441)</f>
        <v>269632.12867768004</v>
      </c>
      <c r="R442" s="501"/>
      <c r="S442" s="506"/>
      <c r="T442" s="505">
        <f>SUM(T434:T441)</f>
        <v>237807.74732381778</v>
      </c>
      <c r="U442" s="501"/>
      <c r="V442" s="506"/>
      <c r="W442" s="505">
        <f>SUM(W434:W441)</f>
        <v>221640.95767637726</v>
      </c>
      <c r="X442" s="501"/>
      <c r="Y442" s="506"/>
      <c r="Z442" s="505">
        <f>SUM(Z434:Z441)</f>
        <v>205728.7631414948</v>
      </c>
      <c r="AA442" s="501"/>
      <c r="AB442" s="506"/>
      <c r="AC442" s="505">
        <f>SUM(AC434:AC441)</f>
        <v>192871.70995730982</v>
      </c>
      <c r="AD442" s="501"/>
      <c r="AE442" s="506"/>
      <c r="AF442" s="505">
        <f>SUM(AF434:AF441)</f>
        <v>159121.94534882423</v>
      </c>
      <c r="AG442" s="501"/>
      <c r="AH442" s="506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</row>
    <row r="443" spans="1:48" ht="16.5" hidden="1" thickBot="1">
      <c r="A443" s="61"/>
      <c r="B443" s="760" t="s">
        <v>127</v>
      </c>
      <c r="C443" s="492"/>
      <c r="D443" s="492"/>
      <c r="E443" s="507">
        <f>E388</f>
        <v>0</v>
      </c>
      <c r="F443" s="492"/>
      <c r="G443" s="494"/>
      <c r="H443" s="507">
        <f>H388</f>
        <v>0</v>
      </c>
      <c r="I443" s="492"/>
      <c r="J443" s="494"/>
      <c r="K443" s="507">
        <f>K388</f>
        <v>0</v>
      </c>
      <c r="L443" s="492"/>
      <c r="M443" s="494"/>
      <c r="N443" s="507">
        <f>N388</f>
        <v>0</v>
      </c>
      <c r="O443" s="492"/>
      <c r="P443" s="494"/>
      <c r="Q443" s="507">
        <f>Q388</f>
        <v>0</v>
      </c>
      <c r="R443" s="492"/>
      <c r="S443" s="494"/>
      <c r="T443" s="507">
        <f>T388</f>
        <v>0</v>
      </c>
      <c r="U443" s="492"/>
      <c r="V443" s="494"/>
      <c r="W443" s="507">
        <f>W388</f>
        <v>0</v>
      </c>
      <c r="X443" s="492"/>
      <c r="Y443" s="494"/>
      <c r="Z443" s="507">
        <f>Z388</f>
        <v>0</v>
      </c>
      <c r="AA443" s="492"/>
      <c r="AB443" s="494"/>
      <c r="AC443" s="507">
        <f>AC388</f>
        <v>0</v>
      </c>
      <c r="AD443" s="492"/>
      <c r="AE443" s="494"/>
      <c r="AF443" s="507">
        <f>AF388</f>
        <v>0</v>
      </c>
      <c r="AG443" s="492"/>
      <c r="AH443" s="494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</row>
    <row r="444" spans="1:48" hidden="1" thickBot="1">
      <c r="A444" s="61"/>
      <c r="B444" s="760"/>
      <c r="C444" s="492"/>
      <c r="D444" s="488"/>
      <c r="E444" s="508"/>
      <c r="F444" s="492"/>
      <c r="G444" s="490"/>
      <c r="H444" s="508"/>
      <c r="I444" s="492"/>
      <c r="J444" s="490"/>
      <c r="K444" s="508"/>
      <c r="L444" s="492"/>
      <c r="M444" s="490"/>
      <c r="N444" s="508"/>
      <c r="O444" s="492"/>
      <c r="P444" s="490"/>
      <c r="Q444" s="508"/>
      <c r="R444" s="492"/>
      <c r="S444" s="490"/>
      <c r="T444" s="508"/>
      <c r="U444" s="492"/>
      <c r="V444" s="490"/>
      <c r="W444" s="508"/>
      <c r="X444" s="492"/>
      <c r="Y444" s="490"/>
      <c r="Z444" s="508"/>
      <c r="AA444" s="492"/>
      <c r="AB444" s="490"/>
      <c r="AC444" s="508"/>
      <c r="AD444" s="492"/>
      <c r="AE444" s="490"/>
      <c r="AF444" s="508"/>
      <c r="AG444" s="492"/>
      <c r="AH444" s="490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</row>
    <row r="445" spans="1:48" ht="16.5" hidden="1" thickBot="1">
      <c r="A445" s="61"/>
      <c r="B445" s="757">
        <v>84</v>
      </c>
      <c r="C445" s="495">
        <f>Q445/469.5</f>
        <v>24</v>
      </c>
      <c r="D445" s="488" t="s">
        <v>89</v>
      </c>
      <c r="E445" s="489">
        <f>IF(canthorincsup*612.5&gt;14700,14700,canthorincsup*612.5)</f>
        <v>14700</v>
      </c>
      <c r="F445" s="367"/>
      <c r="G445" s="490"/>
      <c r="H445" s="489">
        <f>IF(canthorincsup*562.5&gt;13500,13500,canthorincsup*562.5)</f>
        <v>13500</v>
      </c>
      <c r="I445" s="367"/>
      <c r="J445" s="490"/>
      <c r="K445" s="489">
        <f>IF(canthorincsup*469.5&gt;11268,11268,canthorincsup*469.5)</f>
        <v>11268</v>
      </c>
      <c r="L445" s="367">
        <f>5634/12</f>
        <v>469.5</v>
      </c>
      <c r="M445" s="490"/>
      <c r="N445" s="489">
        <f>IF(canthorincsup*469.5&gt;11268,11268,canthorincsup*469.5)</f>
        <v>11268</v>
      </c>
      <c r="O445" s="488"/>
      <c r="P445" s="490"/>
      <c r="Q445" s="489">
        <f>IF(canthorincsup*469.5&gt;11268,11268,canthorincsup*469.5)</f>
        <v>11268</v>
      </c>
      <c r="R445" s="367">
        <f>5634/12</f>
        <v>469.5</v>
      </c>
      <c r="S445" s="490"/>
      <c r="T445" s="489">
        <f>IF(canthorincsup*428.416667&gt;10282,10282,canthorincsup*428.416667)</f>
        <v>10282</v>
      </c>
      <c r="U445" s="488"/>
      <c r="V445" s="490"/>
      <c r="W445" s="489">
        <f>IF(canthorincsup*428.416667&gt;10282,10282,canthorincsup*428.416667)</f>
        <v>10282</v>
      </c>
      <c r="X445" s="488"/>
      <c r="Y445" s="490"/>
      <c r="Z445" s="489">
        <f>IF(canthorincsup*325.58333&gt;7814,7814,canthorincsup*325.58333)</f>
        <v>7814</v>
      </c>
      <c r="AA445" s="488"/>
      <c r="AB445" s="490"/>
      <c r="AC445" s="489">
        <f>IF(canthorincsup*325.58333&gt;7814,7814,canthorincsup*325.58333)</f>
        <v>7814</v>
      </c>
      <c r="AD445" s="488"/>
      <c r="AE445" s="490"/>
      <c r="AF445" s="489">
        <f>IF(canthorincsup*235.833333&gt;5660,5660,canthorincsup*235.833333)</f>
        <v>5660</v>
      </c>
      <c r="AG445" s="488"/>
      <c r="AH445" s="490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</row>
    <row r="446" spans="1:48" ht="16.5" hidden="1" thickBot="1">
      <c r="A446" s="61"/>
      <c r="B446" s="758">
        <v>54</v>
      </c>
      <c r="C446" s="509">
        <f>Q446/187.5</f>
        <v>24</v>
      </c>
      <c r="D446" s="488" t="s">
        <v>91</v>
      </c>
      <c r="E446" s="493">
        <f>IF(canthorincsup*187.5&gt;4500,4500,canthorincsup*187.5)</f>
        <v>4500</v>
      </c>
      <c r="F446" s="492"/>
      <c r="G446" s="490"/>
      <c r="H446" s="493">
        <f>IF(canthorincsup*187.5&gt;4500,4500,canthorincsup*187.5)</f>
        <v>4500</v>
      </c>
      <c r="I446" s="492"/>
      <c r="J446" s="490"/>
      <c r="K446" s="493">
        <f>IF(canthorincsup*187.5&gt;4500,4500,canthorincsup*187.5)</f>
        <v>4500</v>
      </c>
      <c r="L446" s="492"/>
      <c r="M446" s="490"/>
      <c r="N446" s="493">
        <f>IF(canthorincsup*187.5&gt;4500,4500,canthorincsup*187.5)</f>
        <v>4500</v>
      </c>
      <c r="O446" s="492"/>
      <c r="P446" s="490"/>
      <c r="Q446" s="493">
        <f>IF(canthorincsup*187.5&gt;4500,4500,canthorincsup*187.5)</f>
        <v>4500</v>
      </c>
      <c r="R446" s="492"/>
      <c r="S446" s="490"/>
      <c r="T446" s="493">
        <f>IF(canthorincsup*187.5&gt;4500,4500,canthorincsup*187.5)</f>
        <v>4500</v>
      </c>
      <c r="U446" s="492"/>
      <c r="V446" s="490"/>
      <c r="W446" s="493">
        <f>IF(canthorincsup*187.5&gt;4500,4500,canthorincsup*187.5)</f>
        <v>4500</v>
      </c>
      <c r="X446" s="492"/>
      <c r="Y446" s="490"/>
      <c r="Z446" s="493">
        <f>IF(canthorincsup*187.5&gt;4500,4500,canthorincsup*187.5)</f>
        <v>4500</v>
      </c>
      <c r="AA446" s="492"/>
      <c r="AB446" s="490"/>
      <c r="AC446" s="493">
        <f>IF(canthorincsup*187.5&gt;4500,4500,canthorincsup*187.5)</f>
        <v>4500</v>
      </c>
      <c r="AD446" s="492"/>
      <c r="AE446" s="490"/>
      <c r="AF446" s="493">
        <f>IF(canthorincsup*187.5&gt;4500,4500,canthorincsup*187.5)</f>
        <v>4500</v>
      </c>
      <c r="AG446" s="492"/>
      <c r="AH446" s="490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</row>
    <row r="447" spans="1:48" ht="16.5" hidden="1" thickBot="1">
      <c r="A447" s="61"/>
      <c r="B447" s="875">
        <v>64</v>
      </c>
      <c r="C447" s="420">
        <f>E447/166.6667</f>
        <v>29.999994000001202</v>
      </c>
      <c r="D447" s="246" t="s">
        <v>538</v>
      </c>
      <c r="E447" s="493">
        <f>IF(canthorincsup*208.3333&gt;5000,5000,canthorincsup*208.3333)</f>
        <v>5000</v>
      </c>
      <c r="F447" s="492"/>
      <c r="G447" s="494"/>
      <c r="H447" s="493">
        <f>IF(canthorincsup*166.6667&gt;4000,4000,canthorincsup*166.6667)</f>
        <v>4000</v>
      </c>
      <c r="I447" s="492"/>
      <c r="J447" s="494"/>
      <c r="K447" s="510"/>
      <c r="L447" s="492"/>
      <c r="M447" s="494"/>
      <c r="N447" s="510"/>
      <c r="O447" s="492"/>
      <c r="P447" s="494"/>
      <c r="Q447" s="510"/>
      <c r="R447" s="492"/>
      <c r="S447" s="494"/>
      <c r="T447" s="510"/>
      <c r="U447" s="492"/>
      <c r="V447" s="494"/>
      <c r="W447" s="510"/>
      <c r="X447" s="492"/>
      <c r="Y447" s="494"/>
      <c r="Z447" s="510"/>
      <c r="AA447" s="492"/>
      <c r="AB447" s="494"/>
      <c r="AC447" s="510"/>
      <c r="AD447" s="492"/>
      <c r="AE447" s="494"/>
      <c r="AF447" s="510"/>
      <c r="AG447" s="492"/>
      <c r="AH447" s="494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</row>
    <row r="448" spans="1:48" hidden="1" thickBot="1">
      <c r="A448" s="61"/>
      <c r="B448" s="760"/>
      <c r="C448" s="492"/>
      <c r="D448" s="492"/>
      <c r="E448" s="508"/>
      <c r="F448" s="492"/>
      <c r="G448" s="494"/>
      <c r="H448" s="508"/>
      <c r="I448" s="492"/>
      <c r="J448" s="494"/>
      <c r="K448" s="508"/>
      <c r="L448" s="492"/>
      <c r="M448" s="494"/>
      <c r="N448" s="508"/>
      <c r="O448" s="492"/>
      <c r="P448" s="494"/>
      <c r="Q448" s="508"/>
      <c r="R448" s="492"/>
      <c r="S448" s="494"/>
      <c r="T448" s="508"/>
      <c r="U448" s="492"/>
      <c r="V448" s="494"/>
      <c r="W448" s="508"/>
      <c r="X448" s="492"/>
      <c r="Y448" s="494"/>
      <c r="Z448" s="508"/>
      <c r="AA448" s="492"/>
      <c r="AB448" s="494"/>
      <c r="AC448" s="508"/>
      <c r="AD448" s="492"/>
      <c r="AE448" s="494"/>
      <c r="AF448" s="508"/>
      <c r="AG448" s="492"/>
      <c r="AH448" s="494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</row>
    <row r="449" spans="1:48" ht="16.5" hidden="1" thickBot="1">
      <c r="A449" s="61"/>
      <c r="B449" s="757"/>
      <c r="C449" s="511"/>
      <c r="D449" s="496" t="s">
        <v>128</v>
      </c>
      <c r="E449" s="512">
        <f>SUM(E442:E447)</f>
        <v>342125.57506842603</v>
      </c>
      <c r="F449" s="488"/>
      <c r="G449" s="513"/>
      <c r="H449" s="512">
        <f>SUM(H442:H447)</f>
        <v>331412.83082346141</v>
      </c>
      <c r="I449" s="488"/>
      <c r="J449" s="513"/>
      <c r="K449" s="512">
        <f>SUM(K442:K446)</f>
        <v>325180.83082346141</v>
      </c>
      <c r="L449" s="488"/>
      <c r="M449" s="513"/>
      <c r="N449" s="512">
        <f>SUM(N442:N446)</f>
        <v>296538.91366145399</v>
      </c>
      <c r="O449" s="488"/>
      <c r="P449" s="513"/>
      <c r="Q449" s="512">
        <f>SUM(Q442:Q446)</f>
        <v>285400.12867768004</v>
      </c>
      <c r="R449" s="488"/>
      <c r="S449" s="513"/>
      <c r="T449" s="512">
        <f>SUM(T442:T446)</f>
        <v>252589.74732381778</v>
      </c>
      <c r="U449" s="488"/>
      <c r="V449" s="513"/>
      <c r="W449" s="512">
        <f>SUM(W442:W446)</f>
        <v>236422.95767637726</v>
      </c>
      <c r="X449" s="488"/>
      <c r="Y449" s="513"/>
      <c r="Z449" s="512">
        <f>SUM(Z442:Z446)</f>
        <v>218042.7631414948</v>
      </c>
      <c r="AA449" s="488"/>
      <c r="AB449" s="513"/>
      <c r="AC449" s="512">
        <f>SUM(AC442:AC446)</f>
        <v>205185.70995730982</v>
      </c>
      <c r="AD449" s="488"/>
      <c r="AE449" s="513"/>
      <c r="AF449" s="512">
        <f>SUM(AF442:AF446)</f>
        <v>169281.94534882423</v>
      </c>
      <c r="AG449" s="488"/>
      <c r="AH449" s="513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</row>
    <row r="450" spans="1:48" ht="16.5" hidden="1" thickBot="1">
      <c r="A450" s="61"/>
      <c r="B450" s="758">
        <v>440</v>
      </c>
      <c r="C450" s="514"/>
      <c r="D450" s="492" t="s">
        <v>93</v>
      </c>
      <c r="E450" s="507">
        <f>E395</f>
        <v>0</v>
      </c>
      <c r="F450" s="491">
        <f>-E450</f>
        <v>0</v>
      </c>
      <c r="G450" s="494"/>
      <c r="H450" s="507">
        <f>H395</f>
        <v>0</v>
      </c>
      <c r="I450" s="491">
        <f>-H450</f>
        <v>0</v>
      </c>
      <c r="J450" s="494"/>
      <c r="K450" s="507">
        <f>K395</f>
        <v>0</v>
      </c>
      <c r="L450" s="491">
        <f>-K450</f>
        <v>0</v>
      </c>
      <c r="M450" s="494"/>
      <c r="N450" s="507">
        <f>N395</f>
        <v>0</v>
      </c>
      <c r="O450" s="491">
        <f>-N450</f>
        <v>0</v>
      </c>
      <c r="P450" s="494"/>
      <c r="Q450" s="507">
        <f>Q395</f>
        <v>0</v>
      </c>
      <c r="R450" s="491">
        <f>-Q450</f>
        <v>0</v>
      </c>
      <c r="S450" s="494"/>
      <c r="T450" s="507">
        <f>T395</f>
        <v>0</v>
      </c>
      <c r="U450" s="491">
        <f>-T450</f>
        <v>0</v>
      </c>
      <c r="V450" s="494"/>
      <c r="W450" s="507">
        <f>W395</f>
        <v>0</v>
      </c>
      <c r="X450" s="491">
        <f>-W450</f>
        <v>0</v>
      </c>
      <c r="Y450" s="494"/>
      <c r="Z450" s="507">
        <f>Z395</f>
        <v>0</v>
      </c>
      <c r="AA450" s="491">
        <f>-Z450</f>
        <v>0</v>
      </c>
      <c r="AB450" s="494"/>
      <c r="AC450" s="507">
        <f>AC395</f>
        <v>0</v>
      </c>
      <c r="AD450" s="491">
        <f>-AC450</f>
        <v>0</v>
      </c>
      <c r="AE450" s="494"/>
      <c r="AF450" s="507">
        <f>AF395</f>
        <v>0</v>
      </c>
      <c r="AG450" s="491">
        <f>-AF450</f>
        <v>0</v>
      </c>
      <c r="AH450" s="494"/>
      <c r="AI450" s="100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</row>
    <row r="451" spans="1:48" ht="13.5" hidden="1" thickBot="1">
      <c r="A451" s="61"/>
      <c r="B451" s="757">
        <v>502</v>
      </c>
      <c r="C451" s="650">
        <v>0.16</v>
      </c>
      <c r="D451" s="489" t="s">
        <v>129</v>
      </c>
      <c r="E451" s="489"/>
      <c r="F451" s="486">
        <f>-(E434+E435+E438+E436+E437+F450+E439+E441)*porjub</f>
        <v>-50868.092010948167</v>
      </c>
      <c r="G451" s="515"/>
      <c r="H451" s="489"/>
      <c r="I451" s="486">
        <f>-(H434+H435+H438+H436+H437+I450+H439+H441)*porjub</f>
        <v>-49506.052931753824</v>
      </c>
      <c r="J451" s="515"/>
      <c r="K451" s="489"/>
      <c r="L451" s="486">
        <f>-(K434+K435+K438+K436+K437+L450+K439+K441)*porjub</f>
        <v>-49506.052931753824</v>
      </c>
      <c r="M451" s="515"/>
      <c r="N451" s="489"/>
      <c r="O451" s="486">
        <f>-(N434+N435+N438+N436+N437+O450+N439+N441)*porjub</f>
        <v>-44923.346185832641</v>
      </c>
      <c r="P451" s="515"/>
      <c r="Q451" s="489"/>
      <c r="R451" s="486">
        <f>-(Q434+Q435+Q438+Q436+Q437+R450+Q439+Q441)*porjub</f>
        <v>-43141.140588428811</v>
      </c>
      <c r="S451" s="515"/>
      <c r="T451" s="489"/>
      <c r="U451" s="486">
        <f>-(T434+T435+T438+T436+T437+U450+T439+T441)*porjub</f>
        <v>-38049.239571810846</v>
      </c>
      <c r="V451" s="515"/>
      <c r="W451" s="489"/>
      <c r="X451" s="486">
        <f>-(W434+W435+W438+W436+W437+X450+W439+W441)*porjub</f>
        <v>-35462.553228220364</v>
      </c>
      <c r="Y451" s="515"/>
      <c r="Z451" s="489"/>
      <c r="AA451" s="486">
        <f>-(Z434+Z435+Z438+Z436+Z437+AA450+Z439+Z441)*porjub</f>
        <v>-32916.602102639175</v>
      </c>
      <c r="AB451" s="515"/>
      <c r="AC451" s="489"/>
      <c r="AD451" s="486">
        <f>-(AC434+AC435+AC438+AC436+AC437+AD450+AC439+AC441)*porjub</f>
        <v>-30859.473593169572</v>
      </c>
      <c r="AE451" s="515"/>
      <c r="AF451" s="489"/>
      <c r="AG451" s="486">
        <f>-(AF434+AF435+AF438+AF436+AF437+AG450+AF439+AF441)*porjub</f>
        <v>-25459.511255811878</v>
      </c>
      <c r="AH451" s="515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</row>
    <row r="452" spans="1:48" ht="13.5" hidden="1" thickBot="1">
      <c r="A452" s="61"/>
      <c r="B452" s="757">
        <v>505</v>
      </c>
      <c r="C452" s="651">
        <v>0.03</v>
      </c>
      <c r="D452" s="489" t="s">
        <v>130</v>
      </c>
      <c r="E452" s="489"/>
      <c r="F452" s="486">
        <f>-(E434+E435+E438+E436+E437+F450+E439+E441)*poros</f>
        <v>-9537.7672520527813</v>
      </c>
      <c r="G452" s="515"/>
      <c r="H452" s="489"/>
      <c r="I452" s="486">
        <f>-(H434+H435+H438+H436+H437+I450+H439+H441)*poros</f>
        <v>-9282.3849247038415</v>
      </c>
      <c r="J452" s="515"/>
      <c r="K452" s="489"/>
      <c r="L452" s="486">
        <f>-(K434+K435+K438+K436+K437+L450+K439+K441)*poros</f>
        <v>-9282.3849247038415</v>
      </c>
      <c r="M452" s="515"/>
      <c r="N452" s="489"/>
      <c r="O452" s="486">
        <f>-(N434+N435+N438+N436+N437+O450+N439+N441)*poros</f>
        <v>-8423.1274098436188</v>
      </c>
      <c r="P452" s="515"/>
      <c r="Q452" s="489"/>
      <c r="R452" s="486">
        <f>-(Q434+Q435+Q438+Q436+Q437+R450+Q439+Q441)*poros</f>
        <v>-8088.9638603304011</v>
      </c>
      <c r="S452" s="515"/>
      <c r="T452" s="489"/>
      <c r="U452" s="486">
        <f>-(T434+T435+T438+T436+T437+U450+T439+T441)*poros</f>
        <v>-7134.2324197145326</v>
      </c>
      <c r="V452" s="515"/>
      <c r="W452" s="489"/>
      <c r="X452" s="486">
        <f>-(W434+W435+W438+W436+W437+X450+W439+W441)*poros</f>
        <v>-6649.2287302913173</v>
      </c>
      <c r="Y452" s="515"/>
      <c r="Z452" s="489"/>
      <c r="AA452" s="486">
        <f>-(Z434+Z435+Z438+Z436+Z437+AA450+Z439+Z441)*poros</f>
        <v>-6171.8628942448449</v>
      </c>
      <c r="AB452" s="515"/>
      <c r="AC452" s="489"/>
      <c r="AD452" s="486">
        <f>-(AC434+AC435+AC438+AC436+AC437+AD450+AC439+AC441)*poros</f>
        <v>-5786.1512987192946</v>
      </c>
      <c r="AE452" s="515"/>
      <c r="AF452" s="489"/>
      <c r="AG452" s="486">
        <f>-(AF434+AF435+AF438+AF436+AF437+AG450+AF439+AF441)*poros</f>
        <v>-4773.6583604647267</v>
      </c>
      <c r="AH452" s="515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</row>
    <row r="453" spans="1:48" ht="16.5" hidden="1" thickBot="1">
      <c r="A453" s="61"/>
      <c r="B453" s="761">
        <v>332</v>
      </c>
      <c r="C453" s="600">
        <f t="shared" ref="C453:C454" si="602">C398</f>
        <v>0</v>
      </c>
      <c r="D453" s="493" t="s">
        <v>97</v>
      </c>
      <c r="E453" s="493"/>
      <c r="F453" s="491">
        <f>-(E434+E435+E438+E436+E437+F450+E439)*poragmer-E445*poragmer</f>
        <v>0</v>
      </c>
      <c r="G453" s="516"/>
      <c r="H453" s="493"/>
      <c r="I453" s="491">
        <f>-(H434+H435+H438+H436+H437+I450+H439)*poragmer-H445*poragmer</f>
        <v>0</v>
      </c>
      <c r="J453" s="516"/>
      <c r="K453" s="493"/>
      <c r="L453" s="491">
        <f>-(K434+K435+K438+K436+K437+L450+K439)*poragmer-K445*poragmer</f>
        <v>0</v>
      </c>
      <c r="M453" s="516"/>
      <c r="N453" s="493"/>
      <c r="O453" s="491">
        <f>-(N434+N435+N438+N436+N437+O450+N439)*poragmer-N445*poragmer</f>
        <v>0</v>
      </c>
      <c r="P453" s="516"/>
      <c r="Q453" s="493"/>
      <c r="R453" s="491">
        <f>-(Q434+Q435+Q438+Q436+Q437+R450+Q439)*poragmer-Q445*poragmer</f>
        <v>0</v>
      </c>
      <c r="S453" s="516"/>
      <c r="T453" s="493"/>
      <c r="U453" s="491">
        <f>-(T434+T435+T438+T436+T437+U450+T439)*poragmer-T445*poragmer</f>
        <v>0</v>
      </c>
      <c r="V453" s="516"/>
      <c r="W453" s="493"/>
      <c r="X453" s="491">
        <f>-(W434+W435+W438+W436+W437+X450+W439)*poragmer-W445*poragmer</f>
        <v>0</v>
      </c>
      <c r="Y453" s="516"/>
      <c r="Z453" s="493"/>
      <c r="AA453" s="491">
        <f>-(Z434+Z435+Z438+Z436+Z437+AA450+Z439)*poragmer-Z445*poragmer</f>
        <v>0</v>
      </c>
      <c r="AB453" s="516"/>
      <c r="AC453" s="493"/>
      <c r="AD453" s="491">
        <f>-(AC434+AC435+AC438+AC436+AC437+AD450+AC439)*poragmer-AC445*poragmer</f>
        <v>0</v>
      </c>
      <c r="AE453" s="516"/>
      <c r="AF453" s="493"/>
      <c r="AG453" s="491">
        <f>-(AF434+AF435+AF438+AF436+AF437+AG450+AF439)*poragmer-AF445*poragmer</f>
        <v>0</v>
      </c>
      <c r="AH453" s="516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</row>
    <row r="454" spans="1:48" ht="16.5" hidden="1" thickBot="1">
      <c r="A454" s="61"/>
      <c r="B454" s="762" t="s">
        <v>98</v>
      </c>
      <c r="C454" s="600">
        <f t="shared" si="602"/>
        <v>0</v>
      </c>
      <c r="D454" s="488"/>
      <c r="E454" s="488"/>
      <c r="F454" s="486">
        <f>-(E435+E434+E438+E436+E437+F450+E439+E441)*C454</f>
        <v>0</v>
      </c>
      <c r="G454" s="490"/>
      <c r="H454" s="488"/>
      <c r="I454" s="486">
        <f>-(H435+H434+H438+H436+H437+I450+H439+H441)*C454</f>
        <v>0</v>
      </c>
      <c r="J454" s="490"/>
      <c r="K454" s="488"/>
      <c r="L454" s="486">
        <f>-(K435+K434+K438+K436+K437+L450+K439+K441)*C454</f>
        <v>0</v>
      </c>
      <c r="M454" s="490"/>
      <c r="N454" s="488"/>
      <c r="O454" s="486">
        <f>-(N435+N434+N438+N436+N437+O450+N439+N441)*C454</f>
        <v>0</v>
      </c>
      <c r="P454" s="490"/>
      <c r="Q454" s="488"/>
      <c r="R454" s="486">
        <f>-(Q435+Q434+Q438+Q436+Q437+R450+Q439+Q441)*C454</f>
        <v>0</v>
      </c>
      <c r="S454" s="490"/>
      <c r="T454" s="488"/>
      <c r="U454" s="486">
        <f>-(T435+T434+T438+T436+T437+U450+T439+T441)*C454</f>
        <v>0</v>
      </c>
      <c r="V454" s="490"/>
      <c r="W454" s="488"/>
      <c r="X454" s="486">
        <f>-(W435+W434+W438+W436+W437+X450+W439+W441)*C454</f>
        <v>0</v>
      </c>
      <c r="Y454" s="490"/>
      <c r="Z454" s="488"/>
      <c r="AA454" s="486">
        <f>-(Z435+Z434+Z438+Z436+Z437+AA450+Z439+Z441)*C454</f>
        <v>0</v>
      </c>
      <c r="AB454" s="490"/>
      <c r="AC454" s="488"/>
      <c r="AD454" s="486">
        <f>-(AC435+AC434+AC438+AC436+AC437+AD450+AC439+AC441)*C454</f>
        <v>0</v>
      </c>
      <c r="AE454" s="490"/>
      <c r="AF454" s="488"/>
      <c r="AG454" s="486">
        <f>-(AF435+AF434+AF438+AF436+AF437+AG450+AF439+AF441)*C454</f>
        <v>0</v>
      </c>
      <c r="AH454" s="490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</row>
    <row r="455" spans="1:48" ht="16.5" hidden="1" thickBot="1">
      <c r="A455" s="61"/>
      <c r="B455" s="514"/>
      <c r="C455" s="514"/>
      <c r="D455" s="518" t="s">
        <v>99</v>
      </c>
      <c r="E455" s="514"/>
      <c r="F455" s="504">
        <f>SUM(F451:F454)</f>
        <v>-60405.859263000952</v>
      </c>
      <c r="G455" s="519"/>
      <c r="H455" s="514"/>
      <c r="I455" s="504">
        <f>SUM(I451:I454)</f>
        <v>-58788.437856457662</v>
      </c>
      <c r="J455" s="519"/>
      <c r="K455" s="514"/>
      <c r="L455" s="504">
        <f>SUM(L451:L454)</f>
        <v>-58788.437856457662</v>
      </c>
      <c r="M455" s="519"/>
      <c r="N455" s="514"/>
      <c r="O455" s="504">
        <f>SUM(O451:O454)</f>
        <v>-53346.47359567626</v>
      </c>
      <c r="P455" s="519"/>
      <c r="Q455" s="514"/>
      <c r="R455" s="504">
        <f>SUM(R451:R454)</f>
        <v>-51230.104448759215</v>
      </c>
      <c r="S455" s="519"/>
      <c r="T455" s="514"/>
      <c r="U455" s="504">
        <f>SUM(U451:U454)</f>
        <v>-45183.471991525381</v>
      </c>
      <c r="V455" s="519"/>
      <c r="W455" s="514"/>
      <c r="X455" s="504">
        <f>SUM(X451:X454)</f>
        <v>-42111.781958511681</v>
      </c>
      <c r="Y455" s="519"/>
      <c r="Z455" s="514"/>
      <c r="AA455" s="504">
        <f>SUM(AA451:AA454)</f>
        <v>-39088.464996884024</v>
      </c>
      <c r="AB455" s="519"/>
      <c r="AC455" s="514"/>
      <c r="AD455" s="504">
        <f>SUM(AD451:AD454)</f>
        <v>-36645.624891888867</v>
      </c>
      <c r="AE455" s="519"/>
      <c r="AF455" s="514"/>
      <c r="AG455" s="504">
        <f>SUM(AG451:AG454)</f>
        <v>-30233.169616276606</v>
      </c>
      <c r="AH455" s="519"/>
      <c r="AI455" s="70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</row>
    <row r="456" spans="1:48" ht="13.5" hidden="1" thickBot="1">
      <c r="A456" s="61"/>
      <c r="B456" s="488"/>
      <c r="C456" s="488"/>
      <c r="D456" s="488"/>
      <c r="E456" s="488"/>
      <c r="F456" s="488"/>
      <c r="G456" s="490"/>
      <c r="H456" s="488"/>
      <c r="I456" s="488"/>
      <c r="J456" s="490"/>
      <c r="K456" s="488"/>
      <c r="L456" s="488"/>
      <c r="M456" s="490"/>
      <c r="N456" s="488"/>
      <c r="O456" s="488"/>
      <c r="P456" s="490"/>
      <c r="Q456" s="488"/>
      <c r="R456" s="488"/>
      <c r="S456" s="490"/>
      <c r="T456" s="488"/>
      <c r="U456" s="488"/>
      <c r="V456" s="490"/>
      <c r="W456" s="488"/>
      <c r="X456" s="488"/>
      <c r="Y456" s="490"/>
      <c r="Z456" s="488"/>
      <c r="AA456" s="488"/>
      <c r="AB456" s="490"/>
      <c r="AC456" s="488"/>
      <c r="AD456" s="488"/>
      <c r="AE456" s="490"/>
      <c r="AF456" s="488"/>
      <c r="AG456" s="488"/>
      <c r="AH456" s="490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</row>
    <row r="457" spans="1:48" ht="24" hidden="1" thickBot="1">
      <c r="A457" s="61"/>
      <c r="B457" s="489"/>
      <c r="C457" s="488"/>
      <c r="D457" s="496"/>
      <c r="E457" s="496" t="s">
        <v>100</v>
      </c>
      <c r="F457" s="520">
        <f>E449+F455</f>
        <v>281719.71580542508</v>
      </c>
      <c r="G457" s="513"/>
      <c r="H457" s="496" t="s">
        <v>100</v>
      </c>
      <c r="I457" s="520">
        <f>H449+I455</f>
        <v>272624.39296700375</v>
      </c>
      <c r="J457" s="513"/>
      <c r="K457" s="496" t="s">
        <v>100</v>
      </c>
      <c r="L457" s="520">
        <f>K449+L455</f>
        <v>266392.39296700375</v>
      </c>
      <c r="M457" s="513"/>
      <c r="N457" s="496" t="s">
        <v>100</v>
      </c>
      <c r="O457" s="520">
        <f>N449+O455</f>
        <v>243192.44006577774</v>
      </c>
      <c r="P457" s="513"/>
      <c r="Q457" s="496" t="s">
        <v>100</v>
      </c>
      <c r="R457" s="520">
        <f>Q449+R455</f>
        <v>234170.02422892081</v>
      </c>
      <c r="S457" s="513"/>
      <c r="T457" s="496" t="s">
        <v>100</v>
      </c>
      <c r="U457" s="520">
        <f>T449+U455</f>
        <v>207406.2753322924</v>
      </c>
      <c r="V457" s="513"/>
      <c r="W457" s="496" t="s">
        <v>100</v>
      </c>
      <c r="X457" s="520">
        <f>W449+X455</f>
        <v>194311.17571786558</v>
      </c>
      <c r="Y457" s="513"/>
      <c r="Z457" s="496" t="s">
        <v>100</v>
      </c>
      <c r="AA457" s="520">
        <f>Z449+AA455</f>
        <v>178954.29814461077</v>
      </c>
      <c r="AB457" s="513"/>
      <c r="AC457" s="496" t="s">
        <v>100</v>
      </c>
      <c r="AD457" s="520">
        <f>AC449+AD455</f>
        <v>168540.08506542095</v>
      </c>
      <c r="AE457" s="513"/>
      <c r="AF457" s="496" t="s">
        <v>100</v>
      </c>
      <c r="AG457" s="520">
        <f>AF449+AG455</f>
        <v>139048.77573254763</v>
      </c>
      <c r="AH457" s="513"/>
      <c r="AI457" s="426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</row>
    <row r="458" spans="1:48" ht="24" hidden="1" thickBot="1">
      <c r="A458" s="61"/>
      <c r="B458" s="489"/>
      <c r="C458" s="488">
        <f>2250/12</f>
        <v>187.5</v>
      </c>
      <c r="D458" s="496"/>
      <c r="E458" s="496"/>
      <c r="F458" s="521"/>
      <c r="G458" s="513"/>
      <c r="H458" s="496"/>
      <c r="I458" s="521"/>
      <c r="J458" s="513"/>
      <c r="K458" s="496"/>
      <c r="L458" s="521"/>
      <c r="M458" s="513"/>
      <c r="N458" s="496"/>
      <c r="O458" s="521"/>
      <c r="P458" s="513"/>
      <c r="Q458" s="496"/>
      <c r="R458" s="521"/>
      <c r="S458" s="513"/>
      <c r="T458" s="496"/>
      <c r="U458" s="521"/>
      <c r="V458" s="513"/>
      <c r="W458" s="496"/>
      <c r="X458" s="521"/>
      <c r="Y458" s="513"/>
      <c r="Z458" s="496"/>
      <c r="AA458" s="521"/>
      <c r="AB458" s="513"/>
      <c r="AC458" s="496"/>
      <c r="AD458" s="521"/>
      <c r="AE458" s="513"/>
      <c r="AF458" s="496"/>
      <c r="AG458" s="521"/>
      <c r="AH458" s="513"/>
      <c r="AI458" s="426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</row>
    <row r="459" spans="1:48" ht="18.75" hidden="1" thickBot="1">
      <c r="A459" s="61"/>
      <c r="B459" s="489"/>
      <c r="C459" s="488"/>
      <c r="D459" s="496"/>
      <c r="E459" s="522" t="s">
        <v>104</v>
      </c>
      <c r="F459" s="523">
        <f>F457-I457</f>
        <v>9095.3228384213289</v>
      </c>
      <c r="G459" s="513"/>
      <c r="H459" s="522" t="s">
        <v>104</v>
      </c>
      <c r="I459" s="523">
        <f>I457-L457</f>
        <v>6232</v>
      </c>
      <c r="J459" s="513"/>
      <c r="K459" s="522" t="s">
        <v>104</v>
      </c>
      <c r="L459" s="523">
        <f>L457-O457</f>
        <v>23199.952901226003</v>
      </c>
      <c r="M459" s="513"/>
      <c r="N459" s="522" t="s">
        <v>104</v>
      </c>
      <c r="O459" s="523">
        <f>O457-R457</f>
        <v>9022.4158368569333</v>
      </c>
      <c r="P459" s="513"/>
      <c r="Q459" s="522" t="s">
        <v>104</v>
      </c>
      <c r="R459" s="523">
        <f>R457-U457</f>
        <v>26763.748896628415</v>
      </c>
      <c r="S459" s="513"/>
      <c r="T459" s="522" t="s">
        <v>104</v>
      </c>
      <c r="U459" s="523">
        <f>U457-X457</f>
        <v>13095.099614426814</v>
      </c>
      <c r="V459" s="513"/>
      <c r="W459" s="522" t="s">
        <v>104</v>
      </c>
      <c r="X459" s="523">
        <f>X457-AA457</f>
        <v>15356.877573254809</v>
      </c>
      <c r="Y459" s="513"/>
      <c r="Z459" s="522" t="s">
        <v>104</v>
      </c>
      <c r="AA459" s="523">
        <f>AA457-AD457</f>
        <v>10414.213079189823</v>
      </c>
      <c r="AB459" s="513"/>
      <c r="AC459" s="522" t="s">
        <v>104</v>
      </c>
      <c r="AD459" s="523">
        <f>AD457-AG457</f>
        <v>29491.309332873323</v>
      </c>
      <c r="AE459" s="513"/>
      <c r="AF459" s="522" t="s">
        <v>104</v>
      </c>
      <c r="AG459" s="523"/>
      <c r="AH459" s="513"/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</row>
    <row r="460" spans="1:48" ht="18.75" hidden="1" thickBot="1">
      <c r="A460" s="61"/>
      <c r="B460" s="489"/>
      <c r="C460" s="488"/>
      <c r="D460" s="496"/>
      <c r="E460" s="522" t="s">
        <v>105</v>
      </c>
      <c r="F460" s="583">
        <f>F459/I457</f>
        <v>3.3362102119461313E-2</v>
      </c>
      <c r="G460" s="513"/>
      <c r="H460" s="522" t="s">
        <v>105</v>
      </c>
      <c r="I460" s="583">
        <f>I459/L457</f>
        <v>2.3394061409148108E-2</v>
      </c>
      <c r="J460" s="513"/>
      <c r="K460" s="522" t="s">
        <v>105</v>
      </c>
      <c r="L460" s="583">
        <f>L459/O457</f>
        <v>9.5397508635346434E-2</v>
      </c>
      <c r="M460" s="513"/>
      <c r="N460" s="522" t="s">
        <v>105</v>
      </c>
      <c r="O460" s="583">
        <f>O459/R457</f>
        <v>3.8529337247865537E-2</v>
      </c>
      <c r="P460" s="513"/>
      <c r="Q460" s="522" t="s">
        <v>105</v>
      </c>
      <c r="R460" s="583">
        <f>R459/U457</f>
        <v>0.12904020793849816</v>
      </c>
      <c r="S460" s="513"/>
      <c r="T460" s="522" t="s">
        <v>105</v>
      </c>
      <c r="U460" s="583">
        <f>U459/X457</f>
        <v>6.7392416138948863E-2</v>
      </c>
      <c r="V460" s="513"/>
      <c r="W460" s="522" t="s">
        <v>105</v>
      </c>
      <c r="X460" s="583">
        <f>X459/AA457</f>
        <v>8.5814522101308258E-2</v>
      </c>
      <c r="Y460" s="513"/>
      <c r="Z460" s="522" t="s">
        <v>105</v>
      </c>
      <c r="AA460" s="583">
        <f>AA459/AD457</f>
        <v>6.1790719253211578E-2</v>
      </c>
      <c r="AB460" s="513"/>
      <c r="AC460" s="522" t="s">
        <v>105</v>
      </c>
      <c r="AD460" s="583">
        <f>AD459/AG457</f>
        <v>0.2120932685491469</v>
      </c>
      <c r="AE460" s="513"/>
      <c r="AF460" s="522" t="s">
        <v>105</v>
      </c>
      <c r="AG460" s="524"/>
      <c r="AH460" s="513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</row>
    <row r="461" spans="1:48" hidden="1" thickBot="1">
      <c r="A461" s="61"/>
      <c r="B461" s="488"/>
      <c r="C461" s="488"/>
      <c r="D461" s="488"/>
      <c r="E461" s="488"/>
      <c r="F461" s="488"/>
      <c r="G461" s="490"/>
      <c r="H461" s="488"/>
      <c r="I461" s="488"/>
      <c r="J461" s="490"/>
      <c r="K461" s="488"/>
      <c r="L461" s="488"/>
      <c r="M461" s="490"/>
      <c r="N461" s="488"/>
      <c r="O461" s="488"/>
      <c r="P461" s="490"/>
      <c r="Q461" s="488"/>
      <c r="R461" s="488"/>
      <c r="S461" s="490"/>
      <c r="T461" s="488"/>
      <c r="U461" s="488"/>
      <c r="V461" s="490"/>
      <c r="W461" s="488"/>
      <c r="X461" s="488"/>
      <c r="Y461" s="490"/>
      <c r="Z461" s="488"/>
      <c r="AA461" s="488"/>
      <c r="AB461" s="490"/>
      <c r="AC461" s="488"/>
      <c r="AD461" s="488"/>
      <c r="AE461" s="490"/>
      <c r="AF461" s="488"/>
      <c r="AG461" s="488"/>
      <c r="AH461" s="490"/>
      <c r="AI461" s="73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</row>
    <row r="462" spans="1:48" ht="18.75" hidden="1" thickBot="1">
      <c r="A462" s="61"/>
      <c r="B462" s="517"/>
      <c r="C462" s="496"/>
      <c r="D462" s="525"/>
      <c r="E462" s="317" t="s">
        <v>496</v>
      </c>
      <c r="F462" s="318">
        <f>F457-AG457</f>
        <v>142670.94007287745</v>
      </c>
      <c r="G462" s="294"/>
      <c r="H462" s="317" t="s">
        <v>496</v>
      </c>
      <c r="I462" s="318">
        <f>I457-AG457</f>
        <v>133575.61723445612</v>
      </c>
      <c r="J462" s="294"/>
      <c r="K462" s="317" t="s">
        <v>496</v>
      </c>
      <c r="L462" s="318">
        <f>L457-AG457</f>
        <v>127343.61723445612</v>
      </c>
      <c r="M462" s="294"/>
      <c r="N462" s="317" t="s">
        <v>496</v>
      </c>
      <c r="O462" s="318">
        <f>O457-AG457</f>
        <v>104143.66433323012</v>
      </c>
      <c r="P462" s="294"/>
      <c r="Q462" s="317" t="s">
        <v>496</v>
      </c>
      <c r="R462" s="318">
        <f>R457-AG457</f>
        <v>95121.248496373184</v>
      </c>
      <c r="S462" s="294"/>
      <c r="T462" s="317" t="s">
        <v>496</v>
      </c>
      <c r="U462" s="318">
        <f>U457-AG457</f>
        <v>68357.49959974477</v>
      </c>
      <c r="V462" s="294"/>
      <c r="W462" s="317" t="s">
        <v>496</v>
      </c>
      <c r="X462" s="318">
        <f>X457-AG457</f>
        <v>55262.399985317956</v>
      </c>
      <c r="Y462" s="294"/>
      <c r="Z462" s="317" t="s">
        <v>496</v>
      </c>
      <c r="AA462" s="318">
        <f>AA457-AG457</f>
        <v>39905.522412063146</v>
      </c>
      <c r="AB462" s="294"/>
      <c r="AC462" s="317" t="s">
        <v>496</v>
      </c>
      <c r="AD462" s="318">
        <f>AD457-AG457</f>
        <v>29491.309332873323</v>
      </c>
      <c r="AE462" s="526"/>
      <c r="AF462" s="527"/>
      <c r="AG462" s="528"/>
      <c r="AH462" s="526"/>
      <c r="AI462" s="430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</row>
    <row r="463" spans="1:48" ht="18.75" hidden="1" thickBot="1">
      <c r="A463" s="61"/>
      <c r="B463" s="517"/>
      <c r="C463" s="496"/>
      <c r="D463" s="525"/>
      <c r="E463" s="317" t="s">
        <v>497</v>
      </c>
      <c r="F463" s="579">
        <f>F462/AG457</f>
        <v>1.026049595339817</v>
      </c>
      <c r="G463" s="294"/>
      <c r="H463" s="317" t="s">
        <v>497</v>
      </c>
      <c r="I463" s="579">
        <f>I462/AG457</f>
        <v>0.96063857111105522</v>
      </c>
      <c r="J463" s="294"/>
      <c r="K463" s="317" t="s">
        <v>497</v>
      </c>
      <c r="L463" s="579">
        <f>L462/AG457</f>
        <v>0.91581976585967428</v>
      </c>
      <c r="M463" s="294"/>
      <c r="N463" s="317" t="s">
        <v>497</v>
      </c>
      <c r="O463" s="579">
        <f>O462/AG457</f>
        <v>0.74897217745767497</v>
      </c>
      <c r="P463" s="294"/>
      <c r="Q463" s="317" t="s">
        <v>497</v>
      </c>
      <c r="R463" s="579">
        <f>R462/AG457</f>
        <v>0.68408548004286973</v>
      </c>
      <c r="S463" s="294"/>
      <c r="T463" s="317" t="s">
        <v>497</v>
      </c>
      <c r="U463" s="579">
        <f>U462/AG457</f>
        <v>0.49160806515281019</v>
      </c>
      <c r="V463" s="294"/>
      <c r="W463" s="317" t="s">
        <v>497</v>
      </c>
      <c r="X463" s="579">
        <f>X462/AG457</f>
        <v>0.39743176230197108</v>
      </c>
      <c r="Y463" s="294"/>
      <c r="Z463" s="317" t="s">
        <v>497</v>
      </c>
      <c r="AA463" s="579">
        <f>AA462/AG457</f>
        <v>0.28698938341477481</v>
      </c>
      <c r="AB463" s="294"/>
      <c r="AC463" s="317" t="s">
        <v>497</v>
      </c>
      <c r="AD463" s="579">
        <f>AD462/AG457</f>
        <v>0.2120932685491469</v>
      </c>
      <c r="AE463" s="526"/>
      <c r="AF463" s="527"/>
      <c r="AG463" s="529"/>
      <c r="AH463" s="526"/>
      <c r="AI463" s="314"/>
      <c r="AJ463" s="430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</row>
    <row r="464" spans="1:48" ht="18.75" hidden="1" thickBot="1">
      <c r="A464" s="61"/>
      <c r="B464" s="517"/>
      <c r="C464" s="496"/>
      <c r="D464" s="525"/>
      <c r="E464" s="488"/>
      <c r="F464" s="488"/>
      <c r="G464" s="526"/>
      <c r="H464" s="488"/>
      <c r="I464" s="488"/>
      <c r="J464" s="526"/>
      <c r="K464" s="488"/>
      <c r="L464" s="488"/>
      <c r="M464" s="526"/>
      <c r="N464" s="488"/>
      <c r="O464" s="488"/>
      <c r="P464" s="526"/>
      <c r="Q464" s="488"/>
      <c r="R464" s="488"/>
      <c r="S464" s="526"/>
      <c r="T464" s="488"/>
      <c r="U464" s="488"/>
      <c r="V464" s="526"/>
      <c r="W464" s="488"/>
      <c r="X464" s="488"/>
      <c r="Y464" s="526"/>
      <c r="Z464" s="488"/>
      <c r="AA464" s="488"/>
      <c r="AB464" s="526"/>
      <c r="AC464" s="488"/>
      <c r="AD464" s="488"/>
      <c r="AE464" s="526"/>
      <c r="AF464" s="488"/>
      <c r="AG464" s="488"/>
      <c r="AH464" s="526"/>
      <c r="AI464" s="316"/>
      <c r="AJ464" s="132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</row>
    <row r="465" spans="1:48" ht="18.75" hidden="1" thickBot="1">
      <c r="A465" s="61"/>
      <c r="B465" s="488"/>
      <c r="C465" s="488"/>
      <c r="D465" s="488"/>
      <c r="E465" s="228" t="s">
        <v>530</v>
      </c>
      <c r="F465" s="318">
        <f>(F457-E445-E446-E447)-($AG457-$AF445-$AF446-$AF447)</f>
        <v>128630.94007287745</v>
      </c>
      <c r="G465" s="490"/>
      <c r="H465" s="228" t="s">
        <v>530</v>
      </c>
      <c r="I465" s="318">
        <f>(I457-H445-H446-H447)-($AG457-$AF445-$AF446-$AF447)</f>
        <v>121735.61723445612</v>
      </c>
      <c r="J465" s="490"/>
      <c r="K465" s="228" t="s">
        <v>530</v>
      </c>
      <c r="L465" s="318">
        <f>(L457-K445-K446)-($AG457-$AF445-$AF446)</f>
        <v>121735.61723445612</v>
      </c>
      <c r="M465" s="490"/>
      <c r="N465" s="228" t="s">
        <v>530</v>
      </c>
      <c r="O465" s="318">
        <f>(O457-N445-N446)-($AG457-$AF445-$AF446)</f>
        <v>98535.664333230117</v>
      </c>
      <c r="P465" s="490"/>
      <c r="Q465" s="228" t="s">
        <v>530</v>
      </c>
      <c r="R465" s="318">
        <f>(R457-Q445-Q446)-($AG457-$AF445-$AF446)</f>
        <v>89513.248496373184</v>
      </c>
      <c r="S465" s="490"/>
      <c r="T465" s="228" t="s">
        <v>530</v>
      </c>
      <c r="U465" s="318">
        <f>(U457-T445-T446)-($AG457-$AF445-$AF446)</f>
        <v>63735.49959974477</v>
      </c>
      <c r="V465" s="490"/>
      <c r="W465" s="228" t="s">
        <v>530</v>
      </c>
      <c r="X465" s="318">
        <f>(X457-W445-W446)-($AG457-$AF445-$AF446)</f>
        <v>50640.399985317956</v>
      </c>
      <c r="Y465" s="490"/>
      <c r="Z465" s="228" t="s">
        <v>530</v>
      </c>
      <c r="AA465" s="318">
        <f>(AA457-Z445-Z446)-($AG457-$AF445-$AF446)</f>
        <v>37751.522412063146</v>
      </c>
      <c r="AB465" s="490"/>
      <c r="AC465" s="228" t="s">
        <v>530</v>
      </c>
      <c r="AD465" s="318">
        <f>(AD457-AC445-AC446)-($AG457-$AF445-$AF446)</f>
        <v>27337.309332873323</v>
      </c>
      <c r="AE465" s="490"/>
      <c r="AF465" s="530"/>
      <c r="AG465" s="528"/>
      <c r="AH465" s="490"/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</row>
    <row r="466" spans="1:48" ht="18.75" hidden="1" thickBot="1">
      <c r="A466" s="61"/>
      <c r="B466" s="488"/>
      <c r="C466" s="488"/>
      <c r="D466" s="488"/>
      <c r="E466" s="230" t="s">
        <v>531</v>
      </c>
      <c r="F466" s="579">
        <f>F465/($AG457-$AF445-$AF446-$AF447)</f>
        <v>0.99799954916008204</v>
      </c>
      <c r="G466" s="490"/>
      <c r="H466" s="230" t="s">
        <v>531</v>
      </c>
      <c r="I466" s="579">
        <f>I465/($AG457-$AF445-$AF446)</f>
        <v>0.94450130775596186</v>
      </c>
      <c r="J466" s="490"/>
      <c r="K466" s="230" t="s">
        <v>531</v>
      </c>
      <c r="L466" s="579">
        <f>L465/($AG457-$AF445-$AF446)</f>
        <v>0.94450130775596186</v>
      </c>
      <c r="M466" s="490"/>
      <c r="N466" s="230" t="s">
        <v>531</v>
      </c>
      <c r="O466" s="579">
        <f>O465/($AG457-$AF445-$AF446)</f>
        <v>0.7645015151489829</v>
      </c>
      <c r="P466" s="490"/>
      <c r="Q466" s="230" t="s">
        <v>531</v>
      </c>
      <c r="R466" s="579">
        <f>R465/($AG457-$AF445-$AF446)</f>
        <v>0.69449995150950028</v>
      </c>
      <c r="S466" s="490"/>
      <c r="T466" s="230" t="s">
        <v>531</v>
      </c>
      <c r="U466" s="579">
        <f>U465/($AG457-$AF445-$AF446)</f>
        <v>0.49449999999999977</v>
      </c>
      <c r="V466" s="490"/>
      <c r="W466" s="230" t="s">
        <v>531</v>
      </c>
      <c r="X466" s="579">
        <f>X465/($AG457-$AF445-$AF446)</f>
        <v>0.39289999999999997</v>
      </c>
      <c r="Y466" s="490"/>
      <c r="Z466" s="230" t="s">
        <v>531</v>
      </c>
      <c r="AA466" s="579">
        <f>AA465/($AG457-$AF445-$AF446)</f>
        <v>0.29289999999999961</v>
      </c>
      <c r="AB466" s="490"/>
      <c r="AC466" s="230" t="s">
        <v>531</v>
      </c>
      <c r="AD466" s="579">
        <f>AD465/($AG457-$AF445-$AF446)</f>
        <v>0.21209999999999979</v>
      </c>
      <c r="AE466" s="490"/>
      <c r="AF466" s="530"/>
      <c r="AG466" s="529"/>
      <c r="AH466" s="490"/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</row>
    <row r="467" spans="1:48" ht="16.5" hidden="1" thickBot="1">
      <c r="A467" s="61"/>
      <c r="B467" s="488"/>
      <c r="C467" s="488"/>
      <c r="D467" s="488"/>
      <c r="E467" s="496"/>
      <c r="F467" s="531"/>
      <c r="G467" s="490"/>
      <c r="H467" s="496"/>
      <c r="I467" s="531"/>
      <c r="J467" s="490"/>
      <c r="K467" s="496"/>
      <c r="L467" s="531"/>
      <c r="M467" s="490"/>
      <c r="N467" s="496"/>
      <c r="O467" s="531"/>
      <c r="P467" s="490"/>
      <c r="Q467" s="496"/>
      <c r="R467" s="531"/>
      <c r="S467" s="490"/>
      <c r="T467" s="496"/>
      <c r="U467" s="531"/>
      <c r="V467" s="490"/>
      <c r="W467" s="496"/>
      <c r="X467" s="531"/>
      <c r="Y467" s="490"/>
      <c r="Z467" s="496"/>
      <c r="AA467" s="531"/>
      <c r="AB467" s="490"/>
      <c r="AC467" s="496"/>
      <c r="AD467" s="531"/>
      <c r="AE467" s="490"/>
      <c r="AF467" s="496"/>
      <c r="AG467" s="531"/>
      <c r="AH467" s="490"/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</row>
    <row r="468" spans="1:48" ht="16.5" hidden="1" thickBot="1">
      <c r="A468" s="61"/>
      <c r="B468" s="488"/>
      <c r="C468" s="488"/>
      <c r="D468" s="488"/>
      <c r="E468" s="496" t="s">
        <v>106</v>
      </c>
      <c r="F468" s="531"/>
      <c r="G468" s="490"/>
      <c r="H468" s="496" t="s">
        <v>106</v>
      </c>
      <c r="I468" s="531"/>
      <c r="J468" s="490"/>
      <c r="K468" s="496" t="s">
        <v>106</v>
      </c>
      <c r="L468" s="531"/>
      <c r="M468" s="490"/>
      <c r="N468" s="496" t="s">
        <v>106</v>
      </c>
      <c r="O468" s="531"/>
      <c r="P468" s="490"/>
      <c r="Q468" s="496" t="s">
        <v>106</v>
      </c>
      <c r="R468" s="531"/>
      <c r="S468" s="490"/>
      <c r="T468" s="496" t="s">
        <v>106</v>
      </c>
      <c r="U468" s="531"/>
      <c r="V468" s="490"/>
      <c r="W468" s="496" t="s">
        <v>106</v>
      </c>
      <c r="X468" s="531"/>
      <c r="Y468" s="490"/>
      <c r="Z468" s="496" t="s">
        <v>106</v>
      </c>
      <c r="AA468" s="531"/>
      <c r="AB468" s="490"/>
      <c r="AC468" s="496" t="s">
        <v>106</v>
      </c>
      <c r="AD468" s="531"/>
      <c r="AE468" s="490"/>
      <c r="AF468" s="496" t="s">
        <v>106</v>
      </c>
      <c r="AG468" s="531"/>
      <c r="AH468" s="490"/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</row>
    <row r="469" spans="1:48" ht="16.5" hidden="1" thickBot="1">
      <c r="A469" s="100"/>
      <c r="B469" s="488"/>
      <c r="C469" s="488"/>
      <c r="D469" s="488"/>
      <c r="E469" s="484" t="s">
        <v>107</v>
      </c>
      <c r="F469" s="532">
        <f>(E434+E435+E436+E437+E438+E439+E441)*0.5</f>
        <v>158962.78753421301</v>
      </c>
      <c r="G469" s="490"/>
      <c r="H469" s="484" t="s">
        <v>107</v>
      </c>
      <c r="I469" s="532">
        <f>(H434+H435+H436+H437+H438+H439+H441)*0.5</f>
        <v>154706.4154117307</v>
      </c>
      <c r="J469" s="490"/>
      <c r="K469" s="484" t="s">
        <v>107</v>
      </c>
      <c r="L469" s="532">
        <f>(K434+K435+K436+K437+K438+K439+K441)*0.5</f>
        <v>154706.4154117307</v>
      </c>
      <c r="M469" s="490"/>
      <c r="N469" s="484" t="s">
        <v>107</v>
      </c>
      <c r="O469" s="532">
        <f>(N434+N435+N436+N437+N438+N439+N441)*0.5</f>
        <v>140385.45683072699</v>
      </c>
      <c r="P469" s="490"/>
      <c r="Q469" s="484" t="s">
        <v>107</v>
      </c>
      <c r="R469" s="532">
        <f>(Q434+Q435+Q436+Q437+Q438+Q439+Q441)*0.5</f>
        <v>134816.06433884002</v>
      </c>
      <c r="S469" s="490"/>
      <c r="T469" s="484" t="s">
        <v>107</v>
      </c>
      <c r="U469" s="532">
        <f>(T434+T435+T436+T437+T438+T439+T441)*0.5</f>
        <v>118903.87366190889</v>
      </c>
      <c r="V469" s="490"/>
      <c r="W469" s="484" t="s">
        <v>107</v>
      </c>
      <c r="X469" s="532">
        <f>(W434+W435+W436+W437+W438+W439+W441)*0.5</f>
        <v>110820.47883818863</v>
      </c>
      <c r="Y469" s="490"/>
      <c r="Z469" s="484" t="s">
        <v>107</v>
      </c>
      <c r="AA469" s="532">
        <f>(Z434+Z435+Z436+Z437+Z438+Z439+Z441)*0.5</f>
        <v>102864.3815707474</v>
      </c>
      <c r="AB469" s="490"/>
      <c r="AC469" s="484" t="s">
        <v>107</v>
      </c>
      <c r="AD469" s="532">
        <f>(AC434+AC435+AC436+AC437+AC438+AC439+AC441)*0.5</f>
        <v>96435.854978654912</v>
      </c>
      <c r="AE469" s="490"/>
      <c r="AF469" s="484" t="s">
        <v>107</v>
      </c>
      <c r="AG469" s="532">
        <f>(AF434+AF435+AF436+AF437+AF438+AF439+AF441)*0.5</f>
        <v>79560.972674412114</v>
      </c>
      <c r="AH469" s="490"/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</row>
    <row r="470" spans="1:48" ht="16.5" hidden="1" thickBot="1">
      <c r="A470" s="100"/>
      <c r="B470" s="488"/>
      <c r="C470" s="488"/>
      <c r="D470" s="488"/>
      <c r="E470" s="484" t="s">
        <v>108</v>
      </c>
      <c r="F470" s="533"/>
      <c r="G470" s="490"/>
      <c r="H470" s="484" t="s">
        <v>108</v>
      </c>
      <c r="I470" s="533"/>
      <c r="J470" s="490"/>
      <c r="K470" s="484" t="s">
        <v>108</v>
      </c>
      <c r="L470" s="533"/>
      <c r="M470" s="490"/>
      <c r="N470" s="484" t="s">
        <v>108</v>
      </c>
      <c r="O470" s="533"/>
      <c r="P470" s="490"/>
      <c r="Q470" s="484" t="s">
        <v>108</v>
      </c>
      <c r="R470" s="533"/>
      <c r="S470" s="490"/>
      <c r="T470" s="484" t="s">
        <v>108</v>
      </c>
      <c r="U470" s="533"/>
      <c r="V470" s="490"/>
      <c r="W470" s="484" t="s">
        <v>108</v>
      </c>
      <c r="X470" s="533"/>
      <c r="Y470" s="490"/>
      <c r="Z470" s="484" t="s">
        <v>108</v>
      </c>
      <c r="AA470" s="533"/>
      <c r="AB470" s="490"/>
      <c r="AC470" s="484" t="s">
        <v>108</v>
      </c>
      <c r="AD470" s="533"/>
      <c r="AE470" s="490"/>
      <c r="AF470" s="484" t="s">
        <v>108</v>
      </c>
      <c r="AG470" s="533"/>
      <c r="AH470" s="490"/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</row>
    <row r="471" spans="1:48" ht="13.5" hidden="1" thickBot="1">
      <c r="A471" s="100"/>
      <c r="B471" s="488"/>
      <c r="C471" s="488"/>
      <c r="D471" s="488"/>
      <c r="E471" s="488" t="s">
        <v>109</v>
      </c>
      <c r="F471" s="488">
        <f>F469*0.804</f>
        <v>127806.08117750727</v>
      </c>
      <c r="G471" s="490"/>
      <c r="H471" s="488" t="s">
        <v>109</v>
      </c>
      <c r="I471" s="488">
        <f>I469*0.804</f>
        <v>124383.95799103149</v>
      </c>
      <c r="J471" s="490"/>
      <c r="K471" s="488" t="s">
        <v>109</v>
      </c>
      <c r="L471" s="488">
        <f>L469*0.804</f>
        <v>124383.95799103149</v>
      </c>
      <c r="M471" s="490"/>
      <c r="N471" s="488" t="s">
        <v>109</v>
      </c>
      <c r="O471" s="488">
        <f>O469*0.804</f>
        <v>112869.90729190451</v>
      </c>
      <c r="P471" s="490"/>
      <c r="Q471" s="488" t="s">
        <v>109</v>
      </c>
      <c r="R471" s="488">
        <f>R469*0.804</f>
        <v>108392.11572842738</v>
      </c>
      <c r="S471" s="490"/>
      <c r="T471" s="488" t="s">
        <v>109</v>
      </c>
      <c r="U471" s="488">
        <f>U469*0.804</f>
        <v>95598.714424174759</v>
      </c>
      <c r="V471" s="490"/>
      <c r="W471" s="488" t="s">
        <v>109</v>
      </c>
      <c r="X471" s="488">
        <f>X469*0.804</f>
        <v>89099.66498590367</v>
      </c>
      <c r="Y471" s="490"/>
      <c r="Z471" s="488" t="s">
        <v>109</v>
      </c>
      <c r="AA471" s="488">
        <f>AA469*0.804</f>
        <v>82702.962782880917</v>
      </c>
      <c r="AB471" s="490"/>
      <c r="AC471" s="488" t="s">
        <v>109</v>
      </c>
      <c r="AD471" s="488">
        <f>AD469*0.804</f>
        <v>77534.427402838555</v>
      </c>
      <c r="AE471" s="490"/>
      <c r="AF471" s="488" t="s">
        <v>109</v>
      </c>
      <c r="AG471" s="488">
        <f>AG469*0.804</f>
        <v>63967.022030227345</v>
      </c>
      <c r="AH471" s="490"/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</row>
    <row r="472" spans="1:48" ht="13.5" hidden="1" thickBot="1">
      <c r="A472" s="100"/>
      <c r="B472" s="488"/>
      <c r="C472" s="488"/>
      <c r="D472" s="488"/>
      <c r="E472" s="484" t="s">
        <v>110</v>
      </c>
      <c r="F472" s="484"/>
      <c r="G472" s="490"/>
      <c r="H472" s="484" t="s">
        <v>110</v>
      </c>
      <c r="I472" s="484"/>
      <c r="J472" s="490"/>
      <c r="K472" s="484" t="s">
        <v>110</v>
      </c>
      <c r="L472" s="484"/>
      <c r="M472" s="490"/>
      <c r="N472" s="484" t="s">
        <v>110</v>
      </c>
      <c r="O472" s="484"/>
      <c r="P472" s="490"/>
      <c r="Q472" s="484" t="s">
        <v>110</v>
      </c>
      <c r="R472" s="484"/>
      <c r="S472" s="490"/>
      <c r="T472" s="484" t="s">
        <v>110</v>
      </c>
      <c r="U472" s="484"/>
      <c r="V472" s="490"/>
      <c r="W472" s="484" t="s">
        <v>110</v>
      </c>
      <c r="X472" s="484"/>
      <c r="Y472" s="490"/>
      <c r="Z472" s="484" t="s">
        <v>110</v>
      </c>
      <c r="AA472" s="484"/>
      <c r="AB472" s="490"/>
      <c r="AC472" s="484" t="s">
        <v>110</v>
      </c>
      <c r="AD472" s="484"/>
      <c r="AE472" s="490"/>
      <c r="AF472" s="484" t="s">
        <v>110</v>
      </c>
      <c r="AG472" s="484"/>
      <c r="AH472" s="490"/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</row>
    <row r="473" spans="1:48" ht="16.5" hidden="1" thickBot="1">
      <c r="A473" s="100"/>
      <c r="B473" s="488"/>
      <c r="C473" s="488"/>
      <c r="D473" s="488"/>
      <c r="E473" s="534">
        <v>502</v>
      </c>
      <c r="F473" s="535">
        <f>-(E434+E435+E438+E436+E437+F450+E439+E441+F469)*0.16</f>
        <v>-76302.13801642225</v>
      </c>
      <c r="G473" s="490"/>
      <c r="H473" s="534">
        <v>502</v>
      </c>
      <c r="I473" s="535">
        <f>-(H434+H435+H438+H436+H437+I450+H439+H441+I469)*0.16</f>
        <v>-74259.079397630747</v>
      </c>
      <c r="J473" s="490"/>
      <c r="K473" s="534">
        <v>502</v>
      </c>
      <c r="L473" s="535">
        <f>-(K434+K435+K438+K436+K437+L450+K439+K441+L469)*0.16</f>
        <v>-74259.079397630747</v>
      </c>
      <c r="M473" s="490"/>
      <c r="N473" s="534">
        <v>502</v>
      </c>
      <c r="O473" s="535">
        <f>-(N434+N435+N438+N436+N437+O450+N439+N441+O469)*0.16</f>
        <v>-67385.019278748965</v>
      </c>
      <c r="P473" s="490"/>
      <c r="Q473" s="534">
        <v>502</v>
      </c>
      <c r="R473" s="535">
        <f>-(Q434+Q435+Q438+Q436+Q437+R450+Q439+Q441+R469)*0.16</f>
        <v>-64711.710882643209</v>
      </c>
      <c r="S473" s="490"/>
      <c r="T473" s="534">
        <v>502</v>
      </c>
      <c r="U473" s="535">
        <f>-(T434+T435+T438+T436+T437+U450+T439+T441+U469)*0.16</f>
        <v>-57073.859357716268</v>
      </c>
      <c r="V473" s="490"/>
      <c r="W473" s="534">
        <v>502</v>
      </c>
      <c r="X473" s="535">
        <f>-(W434+W435+W438+W436+W437+X450+W439+W441+X469)*0.16</f>
        <v>-53193.829842330546</v>
      </c>
      <c r="Y473" s="490"/>
      <c r="Z473" s="534">
        <v>502</v>
      </c>
      <c r="AA473" s="535">
        <f>-(Z434+Z435+Z438+Z436+Z437+AA450+Z439+Z441+AA469)*0.16</f>
        <v>-49374.90315395876</v>
      </c>
      <c r="AB473" s="490"/>
      <c r="AC473" s="534">
        <v>502</v>
      </c>
      <c r="AD473" s="535">
        <f>-(AC434+AC435+AC438+AC436+AC437+AD450+AC439+AC441+AD469)*0.16</f>
        <v>-46289.210389754364</v>
      </c>
      <c r="AE473" s="490"/>
      <c r="AF473" s="534">
        <v>502</v>
      </c>
      <c r="AG473" s="535">
        <f>-(AF434+AF435+AF438+AF436+AF437+AG450+AF439+AF441+AG469)*0.16</f>
        <v>-38189.266883717813</v>
      </c>
      <c r="AH473" s="490"/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</row>
    <row r="474" spans="1:48" ht="16.5" hidden="1" thickBot="1">
      <c r="A474" s="100"/>
      <c r="B474" s="488"/>
      <c r="C474" s="488"/>
      <c r="D474" s="488"/>
      <c r="E474" s="534">
        <v>505</v>
      </c>
      <c r="F474" s="535">
        <f>-(E434+E435+E438+E436+E437+F450+E439+E441+F469)*0.03</f>
        <v>-14306.65087807917</v>
      </c>
      <c r="G474" s="490"/>
      <c r="H474" s="534">
        <v>505</v>
      </c>
      <c r="I474" s="535">
        <f>-(H434+H435+H438+H436+H437+I450+H439+H441+I469)*0.03</f>
        <v>-13923.577387055762</v>
      </c>
      <c r="J474" s="490"/>
      <c r="K474" s="534">
        <v>505</v>
      </c>
      <c r="L474" s="535">
        <f>-(K434+K435+K438+K436+K437+L450+K439+K441+L469)*0.03</f>
        <v>-13923.577387055762</v>
      </c>
      <c r="M474" s="490"/>
      <c r="N474" s="534">
        <v>505</v>
      </c>
      <c r="O474" s="535">
        <f>-(N434+N435+N438+N436+N437+O450+N439+N441+O469)*0.03</f>
        <v>-12634.691114765428</v>
      </c>
      <c r="P474" s="490"/>
      <c r="Q474" s="534">
        <v>505</v>
      </c>
      <c r="R474" s="535">
        <f>-(Q434+Q435+Q438+Q436+Q437+R450+Q439+Q441+R469)*0.03</f>
        <v>-12133.445790495602</v>
      </c>
      <c r="S474" s="490"/>
      <c r="T474" s="534">
        <v>505</v>
      </c>
      <c r="U474" s="535">
        <f>-(T434+T435+T438+T436+T437+U450+T439+T441+U469)*0.03</f>
        <v>-10701.348629571799</v>
      </c>
      <c r="V474" s="490"/>
      <c r="W474" s="534">
        <v>505</v>
      </c>
      <c r="X474" s="535">
        <f>-(W434+W435+W438+W436+W437+X450+W439+W441+X469)*0.03</f>
        <v>-9973.843095436976</v>
      </c>
      <c r="Y474" s="490"/>
      <c r="Z474" s="534">
        <v>505</v>
      </c>
      <c r="AA474" s="535">
        <f>-(Z434+Z435+Z438+Z436+Z437+AA450+Z439+Z441+AA469)*0.03</f>
        <v>-9257.7943413672674</v>
      </c>
      <c r="AB474" s="490"/>
      <c r="AC474" s="534">
        <v>505</v>
      </c>
      <c r="AD474" s="535">
        <f>-(AC434+AC435+AC438+AC436+AC437+AD450+AC439+AC441+AD469)*0.03</f>
        <v>-8679.2269480789419</v>
      </c>
      <c r="AE474" s="490"/>
      <c r="AF474" s="534">
        <v>505</v>
      </c>
      <c r="AG474" s="535">
        <f>-(AF434+AF435+AF438+AF436+AF437+AG450+AF439+AF441+AG469)*0.03</f>
        <v>-7160.4875406970896</v>
      </c>
      <c r="AH474" s="490"/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</row>
    <row r="475" spans="1:48" ht="16.5" hidden="1" thickBot="1">
      <c r="A475" s="100"/>
      <c r="B475" s="488"/>
      <c r="C475" s="488"/>
      <c r="D475" s="488"/>
      <c r="E475" s="531"/>
      <c r="F475" s="536"/>
      <c r="G475" s="490"/>
      <c r="H475" s="531"/>
      <c r="I475" s="536"/>
      <c r="J475" s="490"/>
      <c r="K475" s="531"/>
      <c r="L475" s="536"/>
      <c r="M475" s="490"/>
      <c r="N475" s="531"/>
      <c r="O475" s="536"/>
      <c r="P475" s="490"/>
      <c r="Q475" s="531"/>
      <c r="R475" s="536"/>
      <c r="S475" s="490"/>
      <c r="T475" s="531"/>
      <c r="U475" s="536"/>
      <c r="V475" s="490"/>
      <c r="W475" s="531"/>
      <c r="X475" s="536"/>
      <c r="Y475" s="490"/>
      <c r="Z475" s="531"/>
      <c r="AA475" s="536"/>
      <c r="AB475" s="490"/>
      <c r="AC475" s="531"/>
      <c r="AD475" s="536"/>
      <c r="AE475" s="490"/>
      <c r="AF475" s="531"/>
      <c r="AG475" s="536"/>
      <c r="AH475" s="490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</row>
    <row r="476" spans="1:48" hidden="1" thickBot="1">
      <c r="A476" s="100"/>
      <c r="B476" s="488"/>
      <c r="C476" s="488"/>
      <c r="D476" s="488"/>
      <c r="E476" s="501" t="s">
        <v>111</v>
      </c>
      <c r="F476" s="501"/>
      <c r="G476" s="490"/>
      <c r="H476" s="501" t="s">
        <v>111</v>
      </c>
      <c r="I476" s="501"/>
      <c r="J476" s="490"/>
      <c r="K476" s="501" t="s">
        <v>111</v>
      </c>
      <c r="L476" s="501"/>
      <c r="M476" s="490"/>
      <c r="N476" s="501" t="s">
        <v>111</v>
      </c>
      <c r="O476" s="501"/>
      <c r="P476" s="490"/>
      <c r="Q476" s="501" t="s">
        <v>111</v>
      </c>
      <c r="R476" s="501"/>
      <c r="S476" s="490"/>
      <c r="T476" s="501" t="s">
        <v>111</v>
      </c>
      <c r="U476" s="501"/>
      <c r="V476" s="490"/>
      <c r="W476" s="501" t="s">
        <v>111</v>
      </c>
      <c r="X476" s="501"/>
      <c r="Y476" s="490"/>
      <c r="Z476" s="501" t="s">
        <v>111</v>
      </c>
      <c r="AA476" s="501"/>
      <c r="AB476" s="490"/>
      <c r="AC476" s="501" t="s">
        <v>111</v>
      </c>
      <c r="AD476" s="501"/>
      <c r="AE476" s="490"/>
      <c r="AF476" s="501" t="s">
        <v>111</v>
      </c>
      <c r="AG476" s="501"/>
      <c r="AH476" s="490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</row>
    <row r="477" spans="1:48" ht="16.5" hidden="1" thickBot="1">
      <c r="A477" s="100"/>
      <c r="B477" s="488"/>
      <c r="C477" s="488"/>
      <c r="D477" s="488"/>
      <c r="E477" s="501"/>
      <c r="F477" s="537">
        <f>E449+F469+F470+F473+F474</f>
        <v>410479.57370813756</v>
      </c>
      <c r="G477" s="490"/>
      <c r="H477" s="501"/>
      <c r="I477" s="537">
        <f>H449+I469+I470+I473+I474</f>
        <v>397936.58945050556</v>
      </c>
      <c r="J477" s="490"/>
      <c r="K477" s="501"/>
      <c r="L477" s="537">
        <f>K449+L469+L470+L473+L474</f>
        <v>391704.58945050556</v>
      </c>
      <c r="M477" s="490"/>
      <c r="N477" s="501"/>
      <c r="O477" s="537">
        <f>N449+O469+O470+O473+O474</f>
        <v>356904.66009866662</v>
      </c>
      <c r="P477" s="490"/>
      <c r="Q477" s="501"/>
      <c r="R477" s="537">
        <f>Q449+R469+R470+R473+R474</f>
        <v>343371.03634338127</v>
      </c>
      <c r="S477" s="490"/>
      <c r="T477" s="501"/>
      <c r="U477" s="537">
        <f>T449+U469+U470+U473+U474</f>
        <v>303718.41299843858</v>
      </c>
      <c r="V477" s="490"/>
      <c r="W477" s="501"/>
      <c r="X477" s="537">
        <f>W449+X469+X470+X473+X474</f>
        <v>284075.76357679837</v>
      </c>
      <c r="Y477" s="490"/>
      <c r="Z477" s="501"/>
      <c r="AA477" s="537">
        <f>Z449+AA469+AA470+AA473+AA474</f>
        <v>262274.44721691619</v>
      </c>
      <c r="AB477" s="490"/>
      <c r="AC477" s="501"/>
      <c r="AD477" s="537">
        <f>AC449+AD469+AD470+AD473+AD474</f>
        <v>246653.12759813145</v>
      </c>
      <c r="AE477" s="490"/>
      <c r="AF477" s="501"/>
      <c r="AG477" s="537">
        <f>AF449+AG469+AG470+AG473+AG474</f>
        <v>203493.16359882141</v>
      </c>
      <c r="AH477" s="490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</row>
    <row r="478" spans="1:48" ht="16.5" hidden="1" thickBot="1">
      <c r="A478" s="100"/>
      <c r="B478" s="488"/>
      <c r="C478" s="488"/>
      <c r="D478" s="488"/>
      <c r="E478" s="538" t="s">
        <v>112</v>
      </c>
      <c r="F478" s="538"/>
      <c r="G478" s="490"/>
      <c r="H478" s="538" t="s">
        <v>112</v>
      </c>
      <c r="I478" s="538"/>
      <c r="J478" s="490"/>
      <c r="K478" s="538" t="s">
        <v>112</v>
      </c>
      <c r="L478" s="538"/>
      <c r="M478" s="490"/>
      <c r="N478" s="538" t="s">
        <v>112</v>
      </c>
      <c r="O478" s="538"/>
      <c r="P478" s="490"/>
      <c r="Q478" s="538" t="s">
        <v>112</v>
      </c>
      <c r="R478" s="538"/>
      <c r="S478" s="490"/>
      <c r="T478" s="538" t="s">
        <v>112</v>
      </c>
      <c r="U478" s="538"/>
      <c r="V478" s="490"/>
      <c r="W478" s="538" t="s">
        <v>112</v>
      </c>
      <c r="X478" s="538"/>
      <c r="Y478" s="490"/>
      <c r="Z478" s="538" t="s">
        <v>112</v>
      </c>
      <c r="AA478" s="538"/>
      <c r="AB478" s="490"/>
      <c r="AC478" s="538" t="s">
        <v>112</v>
      </c>
      <c r="AD478" s="538"/>
      <c r="AE478" s="490"/>
      <c r="AF478" s="538" t="s">
        <v>112</v>
      </c>
      <c r="AG478" s="538"/>
      <c r="AH478" s="490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</row>
    <row r="479" spans="1:48" ht="21" hidden="1" thickBot="1">
      <c r="A479" s="100"/>
      <c r="B479" s="488"/>
      <c r="C479" s="488"/>
      <c r="D479" s="488"/>
      <c r="E479" s="488"/>
      <c r="F479" s="539">
        <f>F477-F457+F453</f>
        <v>128759.85790271248</v>
      </c>
      <c r="G479" s="490"/>
      <c r="H479" s="488"/>
      <c r="I479" s="539">
        <f>I477-I457+I453</f>
        <v>125312.19648350182</v>
      </c>
      <c r="J479" s="490"/>
      <c r="K479" s="488"/>
      <c r="L479" s="539">
        <f>L477-L457+L453</f>
        <v>125312.19648350182</v>
      </c>
      <c r="M479" s="490"/>
      <c r="N479" s="488"/>
      <c r="O479" s="539">
        <f>O477-O457+O453</f>
        <v>113712.22003288887</v>
      </c>
      <c r="P479" s="490"/>
      <c r="Q479" s="488"/>
      <c r="R479" s="539">
        <f>R477-R457+R453</f>
        <v>109201.01211446046</v>
      </c>
      <c r="S479" s="490"/>
      <c r="T479" s="488"/>
      <c r="U479" s="539">
        <f>U477-U457+U453</f>
        <v>96312.137666146184</v>
      </c>
      <c r="V479" s="490"/>
      <c r="W479" s="488"/>
      <c r="X479" s="539">
        <f>X477-X457+X453</f>
        <v>89764.587858932791</v>
      </c>
      <c r="Y479" s="490"/>
      <c r="Z479" s="488"/>
      <c r="AA479" s="539">
        <f>AA477-AA457+AA453</f>
        <v>83320.149072305416</v>
      </c>
      <c r="AB479" s="490"/>
      <c r="AC479" s="488"/>
      <c r="AD479" s="539">
        <f>AD477-AD457+AD453</f>
        <v>78113.042532710504</v>
      </c>
      <c r="AE479" s="490"/>
      <c r="AF479" s="488"/>
      <c r="AG479" s="539">
        <f>AG477-AG457+AG453</f>
        <v>64444.387866273784</v>
      </c>
      <c r="AH479" s="490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</row>
    <row r="480" spans="1:48" ht="13.5" hidden="1" thickBot="1">
      <c r="A480" s="100"/>
      <c r="B480" s="488"/>
      <c r="C480" s="488"/>
      <c r="D480" s="488"/>
      <c r="E480" s="488"/>
      <c r="F480" s="488"/>
      <c r="G480" s="490"/>
      <c r="H480" s="488"/>
      <c r="I480" s="488"/>
      <c r="J480" s="490"/>
      <c r="K480" s="488"/>
      <c r="L480" s="488"/>
      <c r="M480" s="490"/>
      <c r="N480" s="488"/>
      <c r="O480" s="488"/>
      <c r="P480" s="490"/>
      <c r="Q480" s="488"/>
      <c r="R480" s="488"/>
      <c r="S480" s="490"/>
      <c r="T480" s="488"/>
      <c r="U480" s="488"/>
      <c r="V480" s="490"/>
      <c r="W480" s="488"/>
      <c r="X480" s="488"/>
      <c r="Y480" s="490"/>
      <c r="Z480" s="488"/>
      <c r="AA480" s="488"/>
      <c r="AB480" s="490"/>
      <c r="AC480" s="488"/>
      <c r="AD480" s="488"/>
      <c r="AE480" s="490"/>
      <c r="AF480" s="488"/>
      <c r="AG480" s="488"/>
      <c r="AH480" s="490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</row>
    <row r="481" spans="1:46">
      <c r="A481" s="540" t="s">
        <v>133</v>
      </c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</row>
    <row r="482" spans="1:46" ht="15">
      <c r="A482" s="867" t="s">
        <v>134</v>
      </c>
      <c r="B482" s="868"/>
      <c r="C482" s="541"/>
      <c r="D482" s="542"/>
      <c r="E482" s="543"/>
      <c r="F482" s="543"/>
      <c r="G482" s="543"/>
      <c r="H482" s="543"/>
      <c r="I482" s="543"/>
      <c r="J482" s="543"/>
      <c r="K482" s="543"/>
      <c r="L482" s="543"/>
      <c r="M482" s="543"/>
      <c r="N482" s="543"/>
      <c r="O482" s="543"/>
      <c r="P482" s="543"/>
      <c r="Q482" s="543"/>
      <c r="R482" s="543"/>
      <c r="S482" s="543"/>
      <c r="T482" s="543"/>
      <c r="U482" s="543"/>
      <c r="V482" s="543"/>
      <c r="W482" s="543"/>
      <c r="X482" s="543"/>
      <c r="Y482" s="543"/>
      <c r="Z482" s="543"/>
      <c r="AA482" s="543"/>
      <c r="AB482" s="543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</row>
    <row r="483" spans="1:46" ht="15">
      <c r="A483" s="869" t="s">
        <v>135</v>
      </c>
      <c r="B483" s="849"/>
      <c r="C483" s="849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63"/>
      <c r="Y483" s="163"/>
      <c r="Z483" s="163"/>
      <c r="AA483" s="163"/>
      <c r="AB483" s="163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</row>
    <row r="484" spans="1:46" ht="18">
      <c r="A484" s="870" t="s">
        <v>491</v>
      </c>
      <c r="B484" s="871"/>
      <c r="C484" s="871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  <c r="Z484" s="163"/>
      <c r="AA484" s="163"/>
      <c r="AB484" s="163"/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</row>
    <row r="485" spans="1:46" ht="15">
      <c r="A485" s="856" t="s">
        <v>136</v>
      </c>
      <c r="B485" s="857"/>
      <c r="C485" s="857"/>
      <c r="D485" s="545"/>
      <c r="E485" s="543"/>
      <c r="F485" s="543"/>
      <c r="G485" s="543"/>
      <c r="H485" s="543"/>
      <c r="I485" s="543"/>
      <c r="J485" s="543"/>
      <c r="K485" s="543"/>
      <c r="L485" s="543"/>
      <c r="M485" s="543"/>
      <c r="N485" s="543"/>
      <c r="O485" s="543"/>
      <c r="P485" s="543"/>
      <c r="Q485" s="543"/>
      <c r="R485" s="543"/>
      <c r="S485" s="543"/>
      <c r="T485" s="543"/>
      <c r="U485" s="543"/>
      <c r="V485" s="543"/>
      <c r="W485" s="543"/>
      <c r="X485" s="543"/>
      <c r="Y485" s="543"/>
      <c r="Z485" s="543"/>
      <c r="AA485" s="543"/>
      <c r="AB485" s="543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</row>
    <row r="486" spans="1:46" ht="15">
      <c r="A486" s="858" t="s">
        <v>137</v>
      </c>
      <c r="B486" s="849"/>
      <c r="C486" s="849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63"/>
      <c r="Y486" s="163"/>
      <c r="Z486" s="163"/>
      <c r="AA486" s="163"/>
      <c r="AB486" s="163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</row>
    <row r="487" spans="1:46" ht="12.75">
      <c r="A487" s="681" t="s">
        <v>508</v>
      </c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</row>
    <row r="488" spans="1:46" ht="12.75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</row>
    <row r="489" spans="1:46">
      <c r="A489" s="61"/>
      <c r="B489" s="61"/>
      <c r="C489" s="100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</row>
    <row r="490" spans="1:46" ht="12.75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</row>
    <row r="491" spans="1:46">
      <c r="A491" s="61"/>
      <c r="B491" s="61"/>
      <c r="C491" s="100"/>
      <c r="D491" s="69"/>
      <c r="E491" s="69"/>
      <c r="F491" s="69"/>
      <c r="G491" s="69"/>
      <c r="H491" s="69"/>
      <c r="I491" s="69"/>
      <c r="J491" s="69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</row>
    <row r="492" spans="1:46" ht="18">
      <c r="A492" s="61"/>
      <c r="B492" s="546"/>
      <c r="C492" s="61"/>
      <c r="D492" s="61"/>
      <c r="E492" s="61"/>
      <c r="F492" s="61"/>
      <c r="G492" s="189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</row>
    <row r="493" spans="1:46" ht="12.75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</row>
    <row r="494" spans="1:46" ht="12.75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</row>
    <row r="495" spans="1:46" ht="12.75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</row>
    <row r="496" spans="1:46" ht="12.75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</row>
    <row r="497" spans="1:46" ht="12.75">
      <c r="A497" s="61"/>
      <c r="B497" s="61"/>
      <c r="C497" s="61"/>
      <c r="D497" s="61"/>
      <c r="E497" s="61"/>
      <c r="F497" s="61"/>
      <c r="G497" s="61"/>
      <c r="H497" s="61"/>
      <c r="I497" s="70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</row>
    <row r="498" spans="1:46" ht="12.75">
      <c r="A498" s="61"/>
      <c r="B498" s="61"/>
      <c r="C498" s="61"/>
      <c r="D498" s="61"/>
      <c r="E498" s="61"/>
      <c r="F498" s="61"/>
      <c r="G498" s="61"/>
      <c r="H498" s="61"/>
      <c r="I498" s="70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</row>
    <row r="499" spans="1:46" ht="12.75">
      <c r="A499" s="61"/>
      <c r="B499" s="61"/>
      <c r="C499" s="61"/>
      <c r="D499" s="61"/>
      <c r="E499" s="61"/>
      <c r="F499" s="61"/>
      <c r="G499" s="61"/>
      <c r="H499" s="61"/>
      <c r="I499" s="70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</row>
    <row r="500" spans="1:46" ht="12.75">
      <c r="A500" s="171"/>
      <c r="B500" s="70"/>
      <c r="C500" s="61"/>
      <c r="D500" s="61"/>
      <c r="E500" s="61"/>
      <c r="F500" s="171"/>
      <c r="G500" s="70"/>
      <c r="H500" s="61"/>
      <c r="I500" s="70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</row>
    <row r="501" spans="1:46" ht="12.75">
      <c r="A501" s="61"/>
      <c r="B501" s="61"/>
      <c r="C501" s="61"/>
      <c r="D501" s="61"/>
      <c r="E501" s="61"/>
      <c r="F501" s="70"/>
      <c r="G501" s="70"/>
      <c r="H501" s="171"/>
      <c r="I501" s="70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</row>
    <row r="502" spans="1:46" ht="12.75">
      <c r="A502" s="61"/>
      <c r="B502" s="61"/>
      <c r="C502" s="61"/>
      <c r="D502" s="61"/>
      <c r="E502" s="61"/>
      <c r="F502" s="70"/>
      <c r="G502" s="70"/>
      <c r="H502" s="70"/>
      <c r="I502" s="70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</row>
    <row r="503" spans="1:46" ht="12.75">
      <c r="A503" s="61"/>
      <c r="B503" s="61"/>
      <c r="C503" s="61"/>
      <c r="D503" s="61"/>
      <c r="E503" s="61"/>
      <c r="F503" s="70"/>
      <c r="G503" s="70"/>
      <c r="H503" s="17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</row>
    <row r="504" spans="1:46" ht="12.75">
      <c r="A504" s="61"/>
      <c r="B504" s="61"/>
      <c r="C504" s="171"/>
      <c r="D504" s="70"/>
      <c r="E504" s="61"/>
      <c r="F504" s="70"/>
      <c r="G504" s="70"/>
      <c r="H504" s="70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</row>
    <row r="505" spans="1:46" ht="12.75">
      <c r="A505" s="61"/>
      <c r="B505" s="61"/>
      <c r="C505" s="61"/>
      <c r="D505" s="61"/>
      <c r="E505" s="61"/>
      <c r="F505" s="70"/>
      <c r="G505" s="70"/>
      <c r="H505" s="70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</row>
    <row r="506" spans="1:46" ht="12.75">
      <c r="A506" s="61"/>
      <c r="B506" s="61"/>
      <c r="C506" s="171"/>
      <c r="D506" s="70"/>
      <c r="E506" s="61"/>
      <c r="F506" s="61"/>
      <c r="G506" s="61"/>
      <c r="H506" s="70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</row>
    <row r="507" spans="1:46" ht="12.75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</row>
    <row r="508" spans="1:46" ht="12.75">
      <c r="A508" s="61"/>
      <c r="B508" s="70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</row>
    <row r="509" spans="1:46" ht="12.75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</row>
    <row r="510" spans="1:46" ht="12.75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</row>
    <row r="511" spans="1:46" ht="12.75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</row>
    <row r="512" spans="1:46" ht="12.75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</row>
    <row r="513" spans="1:46" ht="12.75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</row>
    <row r="514" spans="1:46" ht="12.75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</row>
    <row r="515" spans="1:46" ht="12.75">
      <c r="A515" s="171"/>
      <c r="B515" s="61"/>
      <c r="C515" s="61"/>
      <c r="D515" s="61"/>
      <c r="E515" s="61"/>
      <c r="F515" s="17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</row>
    <row r="516" spans="1:46" ht="12.75">
      <c r="A516" s="61"/>
      <c r="B516" s="61"/>
      <c r="C516" s="61"/>
      <c r="D516" s="61"/>
      <c r="E516" s="61"/>
      <c r="F516" s="70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</row>
    <row r="517" spans="1:46" ht="12.75">
      <c r="A517" s="61"/>
      <c r="B517" s="61"/>
      <c r="C517" s="61"/>
      <c r="D517" s="61"/>
      <c r="E517" s="61"/>
      <c r="F517" s="70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</row>
    <row r="518" spans="1:46" ht="12.75">
      <c r="A518" s="61"/>
      <c r="B518" s="61"/>
      <c r="C518" s="61"/>
      <c r="D518" s="61"/>
      <c r="E518" s="61"/>
      <c r="F518" s="70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</row>
    <row r="519" spans="1:46" ht="12.75">
      <c r="A519" s="61"/>
      <c r="B519" s="61"/>
      <c r="C519" s="171"/>
      <c r="D519" s="61"/>
      <c r="E519" s="61"/>
      <c r="F519" s="70"/>
      <c r="G519" s="61"/>
      <c r="H519" s="70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</row>
    <row r="520" spans="1:46" ht="12.75">
      <c r="A520" s="61"/>
      <c r="B520" s="61"/>
      <c r="C520" s="61"/>
      <c r="D520" s="61"/>
      <c r="E520" s="61"/>
      <c r="F520" s="70"/>
      <c r="G520" s="70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</row>
    <row r="521" spans="1:46" ht="12.75">
      <c r="A521" s="61"/>
      <c r="B521" s="61"/>
      <c r="C521" s="171"/>
      <c r="D521" s="61"/>
      <c r="E521" s="61"/>
      <c r="F521" s="70"/>
      <c r="G521" s="70"/>
      <c r="H521" s="70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</row>
    <row r="522" spans="1:46" ht="12.75">
      <c r="A522" s="61"/>
      <c r="B522" s="61"/>
      <c r="C522" s="61"/>
      <c r="D522" s="61"/>
      <c r="E522" s="61"/>
      <c r="F522" s="70"/>
      <c r="G522" s="70"/>
      <c r="H522" s="70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  <c r="AN522" s="61"/>
      <c r="AO522" s="61"/>
      <c r="AP522" s="61"/>
      <c r="AQ522" s="61"/>
      <c r="AR522" s="61"/>
      <c r="AS522" s="61"/>
      <c r="AT522" s="61"/>
    </row>
    <row r="523" spans="1:46" ht="12.75">
      <c r="A523" s="61"/>
      <c r="B523" s="70"/>
      <c r="C523" s="61"/>
      <c r="D523" s="61"/>
      <c r="E523" s="61"/>
      <c r="F523" s="61"/>
      <c r="G523" s="61"/>
      <c r="H523" s="70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</row>
    <row r="524" spans="1:46" ht="12.75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</row>
    <row r="525" spans="1:46" ht="12.75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</row>
    <row r="526" spans="1:46" ht="12.75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</row>
    <row r="527" spans="1:46" ht="12.75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</row>
    <row r="528" spans="1:46" ht="12.75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</row>
    <row r="529" spans="1:46" ht="12.75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</row>
    <row r="530" spans="1:46" ht="12.75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</row>
    <row r="531" spans="1:46" ht="12.75">
      <c r="A531" s="171"/>
      <c r="B531" s="61"/>
      <c r="C531" s="61"/>
      <c r="D531" s="61"/>
      <c r="E531" s="61"/>
      <c r="F531" s="17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</row>
    <row r="532" spans="1:46" ht="12.75">
      <c r="A532" s="61"/>
      <c r="B532" s="61"/>
      <c r="C532" s="61"/>
      <c r="D532" s="61"/>
      <c r="E532" s="61"/>
      <c r="F532" s="70"/>
      <c r="G532" s="61"/>
      <c r="H532" s="17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</row>
    <row r="533" spans="1:46" ht="12.75">
      <c r="A533" s="61"/>
      <c r="B533" s="61"/>
      <c r="C533" s="61"/>
      <c r="D533" s="61"/>
      <c r="E533" s="61"/>
      <c r="F533" s="70"/>
      <c r="G533" s="61"/>
      <c r="H533" s="70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</row>
    <row r="534" spans="1:46" ht="12.75">
      <c r="A534" s="61"/>
      <c r="B534" s="61"/>
      <c r="C534" s="61"/>
      <c r="D534" s="61"/>
      <c r="E534" s="61"/>
      <c r="F534" s="70"/>
      <c r="G534" s="61"/>
      <c r="H534" s="17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</row>
    <row r="535" spans="1:46" ht="12.75">
      <c r="A535" s="61"/>
      <c r="B535" s="61"/>
      <c r="C535" s="171"/>
      <c r="D535" s="61"/>
      <c r="E535" s="61"/>
      <c r="F535" s="70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</row>
    <row r="536" spans="1:46" ht="12.75">
      <c r="A536" s="61"/>
      <c r="B536" s="61"/>
      <c r="C536" s="61"/>
      <c r="D536" s="61"/>
      <c r="E536" s="61"/>
      <c r="F536" s="70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</row>
    <row r="537" spans="1:46" ht="12.75">
      <c r="A537" s="61"/>
      <c r="B537" s="61"/>
      <c r="C537" s="17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</row>
    <row r="538" spans="1:46" ht="12.75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</row>
    <row r="539" spans="1:46" ht="12.75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</row>
    <row r="540" spans="1:46" ht="12.75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</row>
    <row r="541" spans="1:46" ht="12.75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</row>
    <row r="542" spans="1:46" ht="12.75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</row>
    <row r="543" spans="1:46" ht="12.75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</row>
    <row r="544" spans="1:46" ht="12.75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</row>
    <row r="545" spans="1:46" ht="12.75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</row>
    <row r="546" spans="1:46" ht="12.75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</row>
  </sheetData>
  <sheetProtection password="DFB3" sheet="1" selectLockedCells="1"/>
  <mergeCells count="29">
    <mergeCell ref="A485:C485"/>
    <mergeCell ref="A486:C486"/>
    <mergeCell ref="B250:C250"/>
    <mergeCell ref="B252:C252"/>
    <mergeCell ref="B368:C368"/>
    <mergeCell ref="B369:C369"/>
    <mergeCell ref="B372:C372"/>
    <mergeCell ref="B373:C373"/>
    <mergeCell ref="B375:C375"/>
    <mergeCell ref="B376:C376"/>
    <mergeCell ref="A482:B482"/>
    <mergeCell ref="A483:C483"/>
    <mergeCell ref="A484:C484"/>
    <mergeCell ref="A7:C7"/>
    <mergeCell ref="F83:H83"/>
    <mergeCell ref="F84:G84"/>
    <mergeCell ref="F85:G85"/>
    <mergeCell ref="A103:D103"/>
    <mergeCell ref="AX251:AZ251"/>
    <mergeCell ref="B109:C109"/>
    <mergeCell ref="B110:C110"/>
    <mergeCell ref="B112:C112"/>
    <mergeCell ref="B113:C113"/>
    <mergeCell ref="B114:C114"/>
    <mergeCell ref="B247:C247"/>
    <mergeCell ref="B248:C248"/>
    <mergeCell ref="B242:C242"/>
    <mergeCell ref="B243:C243"/>
    <mergeCell ref="B246:C246"/>
  </mergeCells>
  <hyperlinks>
    <hyperlink ref="A5" r:id="rId1" location="Cargos!A1"/>
    <hyperlink ref="A484" r:id="rId2"/>
    <hyperlink ref="A485" r:id="rId3"/>
    <hyperlink ref="A486" r:id="rId4"/>
    <hyperlink ref="A487" r:id="rId5"/>
  </hyperlinks>
  <pageMargins left="0.7" right="0.7" top="0.75" bottom="0.75" header="0.3" footer="0.3"/>
  <pageSetup orientation="portrait" r:id="rId6"/>
  <ignoredErrors>
    <ignoredError sqref="AF273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 summaryRight="0"/>
  </sheetPr>
  <dimension ref="A1:Q340"/>
  <sheetViews>
    <sheetView topLeftCell="B1" zoomScale="85" zoomScaleNormal="85" workbookViewId="0">
      <selection activeCell="B13" sqref="B13"/>
    </sheetView>
  </sheetViews>
  <sheetFormatPr baseColWidth="10" defaultColWidth="14.42578125" defaultRowHeight="15.75" customHeight="1"/>
  <cols>
    <col min="2" max="2" width="63.28515625" customWidth="1"/>
    <col min="4" max="4" width="14.42578125" style="41"/>
    <col min="5" max="5" width="11.28515625" customWidth="1"/>
    <col min="7" max="7" width="14.42578125" style="41"/>
  </cols>
  <sheetData>
    <row r="1" spans="1:17">
      <c r="A1" s="2"/>
      <c r="B1" s="13" t="s">
        <v>138</v>
      </c>
      <c r="C1" s="14"/>
      <c r="D1" s="661"/>
      <c r="E1" s="15"/>
      <c r="F1" s="15"/>
      <c r="G1" s="15"/>
      <c r="H1" s="16"/>
      <c r="I1" s="7" t="s">
        <v>139</v>
      </c>
      <c r="J1" s="17" t="s">
        <v>140</v>
      </c>
      <c r="K1" s="17" t="s">
        <v>141</v>
      </c>
      <c r="L1" s="7" t="s">
        <v>142</v>
      </c>
      <c r="M1" s="1"/>
      <c r="N1" s="1"/>
      <c r="O1" s="1"/>
      <c r="P1" s="1"/>
      <c r="Q1" s="1"/>
    </row>
    <row r="2" spans="1:17">
      <c r="A2" s="11" t="s">
        <v>48</v>
      </c>
      <c r="B2" s="18" t="s">
        <v>143</v>
      </c>
      <c r="C2" s="11" t="s">
        <v>144</v>
      </c>
      <c r="D2" s="11" t="s">
        <v>504</v>
      </c>
      <c r="E2" s="19" t="s">
        <v>145</v>
      </c>
      <c r="F2" s="20" t="s">
        <v>146</v>
      </c>
      <c r="G2" s="48" t="s">
        <v>498</v>
      </c>
      <c r="H2" s="11" t="s">
        <v>147</v>
      </c>
      <c r="I2" s="21" t="s">
        <v>148</v>
      </c>
      <c r="J2" s="10" t="s">
        <v>149</v>
      </c>
      <c r="K2" s="10" t="s">
        <v>150</v>
      </c>
      <c r="L2" s="10" t="s">
        <v>151</v>
      </c>
      <c r="M2" s="1"/>
      <c r="N2" s="1"/>
      <c r="O2" s="1"/>
      <c r="P2" s="1"/>
      <c r="Q2" s="1"/>
    </row>
    <row r="3" spans="1:17">
      <c r="A3" s="22">
        <v>461</v>
      </c>
      <c r="B3" s="23" t="s">
        <v>152</v>
      </c>
      <c r="C3" s="638">
        <v>2220</v>
      </c>
      <c r="D3" s="662"/>
      <c r="E3" s="625">
        <v>7</v>
      </c>
      <c r="F3" s="625">
        <v>521.4</v>
      </c>
      <c r="G3" s="626">
        <f t="shared" ref="G3:G66" si="0">F3</f>
        <v>521.4</v>
      </c>
      <c r="H3" s="627">
        <v>2748.4</v>
      </c>
      <c r="I3" s="172">
        <v>0</v>
      </c>
      <c r="J3" s="628">
        <v>0</v>
      </c>
      <c r="K3" s="628">
        <v>0</v>
      </c>
      <c r="L3" s="8"/>
      <c r="M3" s="1"/>
      <c r="N3" s="1"/>
      <c r="O3" s="1"/>
      <c r="P3" s="1"/>
      <c r="Q3" s="1"/>
    </row>
    <row r="4" spans="1:17">
      <c r="A4" s="5">
        <v>462</v>
      </c>
      <c r="B4" s="24" t="s">
        <v>152</v>
      </c>
      <c r="C4" s="628">
        <v>2220</v>
      </c>
      <c r="D4" s="663"/>
      <c r="E4" s="625">
        <v>7</v>
      </c>
      <c r="F4" s="625">
        <v>521.4</v>
      </c>
      <c r="G4" s="626">
        <f t="shared" si="0"/>
        <v>521.4</v>
      </c>
      <c r="H4" s="629">
        <v>2748.4</v>
      </c>
      <c r="I4" s="172">
        <v>0</v>
      </c>
      <c r="J4" s="628">
        <v>0</v>
      </c>
      <c r="K4" s="628">
        <v>0</v>
      </c>
      <c r="L4" s="8"/>
      <c r="M4" s="1"/>
      <c r="N4" s="1"/>
      <c r="O4" s="1"/>
      <c r="P4" s="1"/>
      <c r="Q4" s="1"/>
    </row>
    <row r="5" spans="1:17">
      <c r="A5" s="5">
        <v>470</v>
      </c>
      <c r="B5" s="24" t="s">
        <v>153</v>
      </c>
      <c r="C5" s="628">
        <v>1580</v>
      </c>
      <c r="D5" s="663"/>
      <c r="E5" s="625">
        <v>90</v>
      </c>
      <c r="F5" s="625">
        <v>347.6</v>
      </c>
      <c r="G5" s="626">
        <f t="shared" si="0"/>
        <v>347.6</v>
      </c>
      <c r="H5" s="629">
        <v>2017.6</v>
      </c>
      <c r="I5" s="172">
        <v>0</v>
      </c>
      <c r="J5" s="628">
        <v>0</v>
      </c>
      <c r="K5" s="628">
        <v>0</v>
      </c>
      <c r="L5" s="8"/>
      <c r="M5" s="1"/>
      <c r="N5" s="1"/>
      <c r="O5" s="1"/>
      <c r="P5" s="1"/>
      <c r="Q5" s="1"/>
    </row>
    <row r="6" spans="1:17">
      <c r="A6" s="5">
        <v>600</v>
      </c>
      <c r="B6" s="24" t="s">
        <v>154</v>
      </c>
      <c r="C6" s="628">
        <v>1300</v>
      </c>
      <c r="D6" s="663"/>
      <c r="E6" s="625">
        <v>127</v>
      </c>
      <c r="F6" s="625">
        <v>0</v>
      </c>
      <c r="G6" s="626">
        <f t="shared" si="0"/>
        <v>0</v>
      </c>
      <c r="H6" s="629">
        <v>1427</v>
      </c>
      <c r="I6" s="172">
        <v>0</v>
      </c>
      <c r="J6" s="628">
        <v>0</v>
      </c>
      <c r="K6" s="628">
        <v>0</v>
      </c>
      <c r="L6" s="8"/>
      <c r="M6" s="1"/>
      <c r="N6" s="1"/>
      <c r="O6" s="1"/>
      <c r="P6" s="1"/>
      <c r="Q6" s="1"/>
    </row>
    <row r="7" spans="1:17">
      <c r="A7" s="5">
        <v>603</v>
      </c>
      <c r="B7" s="24" t="s">
        <v>155</v>
      </c>
      <c r="C7" s="628">
        <v>3146</v>
      </c>
      <c r="D7" s="663"/>
      <c r="E7" s="625">
        <v>0</v>
      </c>
      <c r="F7" s="625">
        <v>0</v>
      </c>
      <c r="G7" s="626">
        <f t="shared" si="0"/>
        <v>0</v>
      </c>
      <c r="H7" s="629">
        <v>3146</v>
      </c>
      <c r="I7" s="172">
        <v>0</v>
      </c>
      <c r="J7" s="628">
        <v>0</v>
      </c>
      <c r="K7" s="628">
        <v>0</v>
      </c>
      <c r="L7" s="8"/>
      <c r="M7" s="1"/>
      <c r="N7" s="1"/>
      <c r="O7" s="1"/>
      <c r="P7" s="1"/>
      <c r="Q7" s="1"/>
    </row>
    <row r="8" spans="1:17">
      <c r="A8" s="5">
        <v>604</v>
      </c>
      <c r="B8" s="24" t="s">
        <v>156</v>
      </c>
      <c r="C8" s="628">
        <v>1610</v>
      </c>
      <c r="D8" s="663"/>
      <c r="E8" s="625">
        <v>87</v>
      </c>
      <c r="F8" s="625">
        <v>388.2</v>
      </c>
      <c r="G8" s="626">
        <f t="shared" si="0"/>
        <v>388.2</v>
      </c>
      <c r="H8" s="629">
        <v>2085.1999999999998</v>
      </c>
      <c r="I8" s="172">
        <v>0</v>
      </c>
      <c r="J8" s="628">
        <v>0</v>
      </c>
      <c r="K8" s="628">
        <v>0</v>
      </c>
      <c r="L8" s="8"/>
      <c r="M8" s="1"/>
      <c r="N8" s="1"/>
      <c r="O8" s="1"/>
      <c r="P8" s="1"/>
      <c r="Q8" s="1"/>
    </row>
    <row r="9" spans="1:17">
      <c r="A9" s="5">
        <v>605</v>
      </c>
      <c r="B9" s="24" t="s">
        <v>158</v>
      </c>
      <c r="C9" s="628">
        <v>2913</v>
      </c>
      <c r="D9" s="663"/>
      <c r="E9" s="625">
        <v>0</v>
      </c>
      <c r="F9" s="625">
        <v>776</v>
      </c>
      <c r="G9" s="626">
        <f t="shared" si="0"/>
        <v>776</v>
      </c>
      <c r="H9" s="629">
        <v>3689</v>
      </c>
      <c r="I9" s="172">
        <v>0</v>
      </c>
      <c r="J9" s="628">
        <v>0</v>
      </c>
      <c r="K9" s="628">
        <v>0</v>
      </c>
      <c r="L9" s="8"/>
      <c r="M9" s="1"/>
      <c r="N9" s="3">
        <v>233</v>
      </c>
      <c r="O9" s="1"/>
      <c r="P9" s="1"/>
      <c r="Q9" s="1"/>
    </row>
    <row r="10" spans="1:17">
      <c r="A10" s="5">
        <v>606</v>
      </c>
      <c r="B10" s="24" t="s">
        <v>159</v>
      </c>
      <c r="C10" s="628">
        <v>2913</v>
      </c>
      <c r="D10" s="663"/>
      <c r="E10" s="625">
        <v>0</v>
      </c>
      <c r="F10" s="625">
        <v>0</v>
      </c>
      <c r="G10" s="626">
        <f t="shared" si="0"/>
        <v>0</v>
      </c>
      <c r="H10" s="629">
        <v>2913</v>
      </c>
      <c r="I10" s="172">
        <v>0</v>
      </c>
      <c r="J10" s="628">
        <v>0</v>
      </c>
      <c r="K10" s="628">
        <v>0</v>
      </c>
      <c r="L10" s="8"/>
      <c r="M10" s="1"/>
      <c r="N10" s="1"/>
      <c r="O10" s="1"/>
      <c r="P10" s="1"/>
      <c r="Q10" s="1"/>
    </row>
    <row r="11" spans="1:17">
      <c r="A11" s="5">
        <v>608</v>
      </c>
      <c r="B11" s="24" t="s">
        <v>160</v>
      </c>
      <c r="C11" s="628">
        <v>2913</v>
      </c>
      <c r="D11" s="663"/>
      <c r="E11" s="625">
        <v>0</v>
      </c>
      <c r="F11" s="625">
        <v>0</v>
      </c>
      <c r="G11" s="626">
        <f t="shared" si="0"/>
        <v>0</v>
      </c>
      <c r="H11" s="629">
        <v>2913</v>
      </c>
      <c r="I11" s="172">
        <v>0</v>
      </c>
      <c r="J11" s="628">
        <v>0</v>
      </c>
      <c r="K11" s="628">
        <v>0</v>
      </c>
      <c r="L11" s="8"/>
      <c r="M11" s="1"/>
      <c r="N11" s="1"/>
      <c r="O11" s="1"/>
      <c r="P11" s="1"/>
      <c r="Q11" s="1"/>
    </row>
    <row r="12" spans="1:17">
      <c r="A12" s="5">
        <v>609</v>
      </c>
      <c r="B12" s="24" t="s">
        <v>161</v>
      </c>
      <c r="C12" s="628">
        <v>2000</v>
      </c>
      <c r="D12" s="663"/>
      <c r="E12" s="625">
        <v>36</v>
      </c>
      <c r="F12" s="625">
        <v>647</v>
      </c>
      <c r="G12" s="626">
        <f t="shared" si="0"/>
        <v>647</v>
      </c>
      <c r="H12" s="629">
        <v>2683</v>
      </c>
      <c r="I12" s="172">
        <v>0</v>
      </c>
      <c r="J12" s="628">
        <v>0</v>
      </c>
      <c r="K12" s="628">
        <v>0</v>
      </c>
      <c r="L12" s="8"/>
      <c r="M12" s="1"/>
      <c r="N12" s="3" t="s">
        <v>162</v>
      </c>
      <c r="O12" s="1"/>
      <c r="P12" s="1"/>
      <c r="Q12" s="1"/>
    </row>
    <row r="13" spans="1:17">
      <c r="A13" s="5">
        <v>611</v>
      </c>
      <c r="B13" s="24" t="s">
        <v>163</v>
      </c>
      <c r="C13" s="628">
        <v>1840</v>
      </c>
      <c r="D13" s="663"/>
      <c r="E13" s="625">
        <v>57</v>
      </c>
      <c r="F13" s="625">
        <v>582.29999999999995</v>
      </c>
      <c r="G13" s="626">
        <f t="shared" si="0"/>
        <v>582.29999999999995</v>
      </c>
      <c r="H13" s="629">
        <v>2479.3000000000002</v>
      </c>
      <c r="I13" s="172">
        <v>0</v>
      </c>
      <c r="J13" s="628">
        <v>0</v>
      </c>
      <c r="K13" s="628">
        <v>0</v>
      </c>
      <c r="L13" s="8"/>
      <c r="M13" s="1"/>
      <c r="N13" s="3">
        <v>136</v>
      </c>
      <c r="O13" s="1"/>
      <c r="P13" s="1"/>
      <c r="Q13" s="1"/>
    </row>
    <row r="14" spans="1:17">
      <c r="A14" s="5">
        <v>612</v>
      </c>
      <c r="B14" s="24" t="s">
        <v>165</v>
      </c>
      <c r="C14" s="628">
        <v>1690</v>
      </c>
      <c r="D14" s="663"/>
      <c r="E14" s="625">
        <v>76</v>
      </c>
      <c r="F14" s="625">
        <v>452.9</v>
      </c>
      <c r="G14" s="626">
        <f t="shared" si="0"/>
        <v>452.9</v>
      </c>
      <c r="H14" s="629">
        <v>2218.9</v>
      </c>
      <c r="I14" s="172">
        <v>0</v>
      </c>
      <c r="J14" s="628">
        <v>0</v>
      </c>
      <c r="K14" s="628">
        <v>0</v>
      </c>
      <c r="L14" s="8"/>
      <c r="M14" s="1"/>
      <c r="N14" s="1"/>
      <c r="O14" s="1"/>
      <c r="P14" s="1"/>
      <c r="Q14" s="1"/>
    </row>
    <row r="15" spans="1:17">
      <c r="A15" s="5">
        <v>613</v>
      </c>
      <c r="B15" s="24" t="s">
        <v>167</v>
      </c>
      <c r="C15" s="628">
        <v>1680</v>
      </c>
      <c r="D15" s="663"/>
      <c r="E15" s="625">
        <v>77</v>
      </c>
      <c r="F15" s="625">
        <v>452.9</v>
      </c>
      <c r="G15" s="626">
        <f t="shared" si="0"/>
        <v>452.9</v>
      </c>
      <c r="H15" s="629">
        <v>2209.9</v>
      </c>
      <c r="I15" s="172">
        <v>0</v>
      </c>
      <c r="J15" s="628">
        <v>0</v>
      </c>
      <c r="K15" s="628">
        <v>0</v>
      </c>
      <c r="L15" s="8"/>
      <c r="M15" s="1"/>
      <c r="N15" s="1"/>
      <c r="O15" s="1"/>
      <c r="P15" s="1"/>
      <c r="Q15" s="1"/>
    </row>
    <row r="16" spans="1:17">
      <c r="A16" s="5">
        <v>614</v>
      </c>
      <c r="B16" s="24" t="s">
        <v>168</v>
      </c>
      <c r="C16" s="628">
        <v>1740</v>
      </c>
      <c r="D16" s="663"/>
      <c r="E16" s="625">
        <v>70</v>
      </c>
      <c r="F16" s="625">
        <v>517.6</v>
      </c>
      <c r="G16" s="626">
        <f t="shared" si="0"/>
        <v>517.6</v>
      </c>
      <c r="H16" s="629">
        <v>2327.6</v>
      </c>
      <c r="I16" s="172">
        <v>0</v>
      </c>
      <c r="J16" s="628">
        <v>0</v>
      </c>
      <c r="K16" s="628">
        <v>0</v>
      </c>
      <c r="L16" s="8"/>
      <c r="M16" s="1"/>
      <c r="N16" s="4" t="s">
        <v>170</v>
      </c>
      <c r="O16" s="3" t="s">
        <v>171</v>
      </c>
      <c r="P16" s="3" t="s">
        <v>172</v>
      </c>
      <c r="Q16" s="3">
        <v>233</v>
      </c>
    </row>
    <row r="17" spans="1:17">
      <c r="A17" s="5">
        <v>615</v>
      </c>
      <c r="B17" s="24" t="s">
        <v>173</v>
      </c>
      <c r="C17" s="628">
        <v>1610</v>
      </c>
      <c r="D17" s="663"/>
      <c r="E17" s="625">
        <v>87</v>
      </c>
      <c r="F17" s="625">
        <v>388.2</v>
      </c>
      <c r="G17" s="626">
        <f t="shared" si="0"/>
        <v>388.2</v>
      </c>
      <c r="H17" s="629">
        <v>2085.1999999999998</v>
      </c>
      <c r="I17" s="172">
        <v>0</v>
      </c>
      <c r="J17" s="628">
        <v>0</v>
      </c>
      <c r="K17" s="628">
        <v>0</v>
      </c>
      <c r="L17" s="8"/>
      <c r="M17" s="1"/>
      <c r="N17" s="4" t="s">
        <v>174</v>
      </c>
      <c r="O17" s="3">
        <v>647</v>
      </c>
      <c r="P17" s="3" t="s">
        <v>175</v>
      </c>
      <c r="Q17" s="3">
        <v>194</v>
      </c>
    </row>
    <row r="18" spans="1:17">
      <c r="A18" s="5">
        <v>616</v>
      </c>
      <c r="B18" s="24" t="s">
        <v>176</v>
      </c>
      <c r="C18" s="628">
        <v>1740</v>
      </c>
      <c r="D18" s="663"/>
      <c r="E18" s="625">
        <v>70</v>
      </c>
      <c r="F18" s="625">
        <v>0</v>
      </c>
      <c r="G18" s="626">
        <f t="shared" si="0"/>
        <v>0</v>
      </c>
      <c r="H18" s="629">
        <v>1810</v>
      </c>
      <c r="I18" s="172">
        <v>0</v>
      </c>
      <c r="J18" s="628">
        <v>0</v>
      </c>
      <c r="K18" s="628">
        <v>0</v>
      </c>
      <c r="L18" s="8"/>
      <c r="M18" s="1"/>
      <c r="N18" s="4" t="s">
        <v>177</v>
      </c>
      <c r="O18" s="3" t="s">
        <v>164</v>
      </c>
      <c r="P18" s="3" t="s">
        <v>178</v>
      </c>
      <c r="Q18" s="3">
        <v>175</v>
      </c>
    </row>
    <row r="19" spans="1:17">
      <c r="A19" s="5">
        <v>617</v>
      </c>
      <c r="B19" s="24" t="s">
        <v>179</v>
      </c>
      <c r="C19" s="628">
        <v>1610</v>
      </c>
      <c r="D19" s="663"/>
      <c r="E19" s="625">
        <v>87</v>
      </c>
      <c r="F19" s="625">
        <v>0</v>
      </c>
      <c r="G19" s="626">
        <f t="shared" si="0"/>
        <v>0</v>
      </c>
      <c r="H19" s="629">
        <v>1697</v>
      </c>
      <c r="I19" s="172">
        <v>0</v>
      </c>
      <c r="J19" s="628">
        <v>0</v>
      </c>
      <c r="K19" s="628">
        <v>0</v>
      </c>
      <c r="L19" s="8"/>
      <c r="M19" s="1"/>
      <c r="N19" s="4" t="s">
        <v>180</v>
      </c>
      <c r="O19" s="3" t="s">
        <v>166</v>
      </c>
      <c r="P19" s="3" t="s">
        <v>162</v>
      </c>
      <c r="Q19" s="3">
        <v>136</v>
      </c>
    </row>
    <row r="20" spans="1:17">
      <c r="A20" s="5">
        <v>618</v>
      </c>
      <c r="B20" s="24" t="s">
        <v>181</v>
      </c>
      <c r="C20" s="628">
        <v>1500</v>
      </c>
      <c r="D20" s="663"/>
      <c r="E20" s="625">
        <v>101</v>
      </c>
      <c r="F20" s="625">
        <v>0</v>
      </c>
      <c r="G20" s="626">
        <f t="shared" si="0"/>
        <v>0</v>
      </c>
      <c r="H20" s="629">
        <v>1601</v>
      </c>
      <c r="I20" s="172">
        <v>0</v>
      </c>
      <c r="J20" s="628">
        <v>0</v>
      </c>
      <c r="K20" s="628">
        <v>0</v>
      </c>
      <c r="L20" s="8"/>
      <c r="M20" s="1"/>
      <c r="N20" s="4" t="s">
        <v>182</v>
      </c>
      <c r="O20" s="1"/>
      <c r="P20" s="3">
        <v>0</v>
      </c>
      <c r="Q20" s="1"/>
    </row>
    <row r="21" spans="1:17">
      <c r="A21" s="5">
        <v>619</v>
      </c>
      <c r="B21" s="24" t="s">
        <v>183</v>
      </c>
      <c r="C21" s="628">
        <v>1320</v>
      </c>
      <c r="D21" s="663"/>
      <c r="E21" s="625">
        <v>124</v>
      </c>
      <c r="F21" s="625">
        <v>0</v>
      </c>
      <c r="G21" s="626">
        <f t="shared" si="0"/>
        <v>0</v>
      </c>
      <c r="H21" s="629">
        <v>1444</v>
      </c>
      <c r="I21" s="172">
        <v>0</v>
      </c>
      <c r="J21" s="628">
        <v>0</v>
      </c>
      <c r="K21" s="628">
        <v>0</v>
      </c>
      <c r="L21" s="8"/>
      <c r="M21" s="1"/>
      <c r="N21" s="4" t="s">
        <v>184</v>
      </c>
      <c r="O21" s="3" t="s">
        <v>169</v>
      </c>
      <c r="P21" s="3" t="s">
        <v>185</v>
      </c>
      <c r="Q21" s="3">
        <v>155</v>
      </c>
    </row>
    <row r="22" spans="1:17">
      <c r="A22" s="5">
        <v>620</v>
      </c>
      <c r="B22" s="24" t="s">
        <v>186</v>
      </c>
      <c r="C22" s="628">
        <v>1550</v>
      </c>
      <c r="D22" s="663"/>
      <c r="E22" s="625">
        <v>94</v>
      </c>
      <c r="F22" s="625">
        <v>0</v>
      </c>
      <c r="G22" s="626">
        <f t="shared" si="0"/>
        <v>0</v>
      </c>
      <c r="H22" s="629">
        <v>1644</v>
      </c>
      <c r="I22" s="172">
        <v>0</v>
      </c>
      <c r="J22" s="628">
        <v>0</v>
      </c>
      <c r="K22" s="628">
        <v>0</v>
      </c>
      <c r="L22" s="8"/>
      <c r="M22" s="1"/>
      <c r="N22" s="4" t="s">
        <v>187</v>
      </c>
      <c r="O22" s="3" t="s">
        <v>157</v>
      </c>
      <c r="P22" s="3" t="s">
        <v>188</v>
      </c>
      <c r="Q22" s="3">
        <v>116</v>
      </c>
    </row>
    <row r="23" spans="1:17">
      <c r="A23" s="5">
        <v>621</v>
      </c>
      <c r="B23" s="24" t="s">
        <v>189</v>
      </c>
      <c r="C23" s="628">
        <v>1340</v>
      </c>
      <c r="D23" s="663"/>
      <c r="E23" s="625">
        <v>122</v>
      </c>
      <c r="F23" s="625">
        <v>0</v>
      </c>
      <c r="G23" s="626">
        <f t="shared" si="0"/>
        <v>0</v>
      </c>
      <c r="H23" s="629">
        <v>1462</v>
      </c>
      <c r="I23" s="172">
        <v>0</v>
      </c>
      <c r="J23" s="628">
        <v>0</v>
      </c>
      <c r="K23" s="628">
        <v>0</v>
      </c>
      <c r="L23" s="8"/>
      <c r="M23" s="1"/>
      <c r="N23" s="4" t="s">
        <v>190</v>
      </c>
      <c r="O23" s="3" t="s">
        <v>157</v>
      </c>
      <c r="P23" s="3" t="s">
        <v>188</v>
      </c>
      <c r="Q23" s="3">
        <v>116</v>
      </c>
    </row>
    <row r="24" spans="1:17">
      <c r="A24" s="5">
        <v>622</v>
      </c>
      <c r="B24" s="24" t="s">
        <v>191</v>
      </c>
      <c r="C24" s="637">
        <v>971</v>
      </c>
      <c r="D24" s="663"/>
      <c r="E24" s="625">
        <v>414.7</v>
      </c>
      <c r="F24" s="625">
        <v>0</v>
      </c>
      <c r="G24" s="626">
        <f t="shared" si="0"/>
        <v>0</v>
      </c>
      <c r="H24" s="629">
        <v>1298</v>
      </c>
      <c r="I24" s="172">
        <v>0</v>
      </c>
      <c r="J24" s="628">
        <v>0</v>
      </c>
      <c r="K24" s="628">
        <v>0</v>
      </c>
      <c r="L24" s="8"/>
      <c r="M24" s="1"/>
      <c r="N24" s="4" t="s">
        <v>192</v>
      </c>
      <c r="O24" s="3" t="s">
        <v>157</v>
      </c>
      <c r="P24" s="3" t="s">
        <v>188</v>
      </c>
      <c r="Q24" s="3">
        <v>116</v>
      </c>
    </row>
    <row r="25" spans="1:17">
      <c r="A25" s="5">
        <v>623</v>
      </c>
      <c r="B25" s="24" t="s">
        <v>193</v>
      </c>
      <c r="C25" s="628">
        <v>1690</v>
      </c>
      <c r="D25" s="663"/>
      <c r="E25" s="625">
        <v>76</v>
      </c>
      <c r="F25" s="625">
        <v>0</v>
      </c>
      <c r="G25" s="626">
        <f t="shared" si="0"/>
        <v>0</v>
      </c>
      <c r="H25" s="629">
        <v>1766</v>
      </c>
      <c r="I25" s="172">
        <v>0</v>
      </c>
      <c r="J25" s="628">
        <v>0</v>
      </c>
      <c r="K25" s="628">
        <v>0</v>
      </c>
      <c r="L25" s="8"/>
      <c r="M25" s="1"/>
      <c r="N25" s="4" t="s">
        <v>194</v>
      </c>
      <c r="O25" s="3" t="s">
        <v>157</v>
      </c>
      <c r="P25" s="3" t="s">
        <v>188</v>
      </c>
      <c r="Q25" s="3">
        <v>116</v>
      </c>
    </row>
    <row r="26" spans="1:17">
      <c r="A26" s="5">
        <v>624</v>
      </c>
      <c r="B26" s="24" t="s">
        <v>195</v>
      </c>
      <c r="C26" s="628">
        <v>1400</v>
      </c>
      <c r="D26" s="663"/>
      <c r="E26" s="625">
        <v>114</v>
      </c>
      <c r="F26" s="625">
        <v>0</v>
      </c>
      <c r="G26" s="626">
        <f t="shared" si="0"/>
        <v>0</v>
      </c>
      <c r="H26" s="629">
        <v>1514</v>
      </c>
      <c r="I26" s="172">
        <v>0</v>
      </c>
      <c r="J26" s="628">
        <v>0</v>
      </c>
      <c r="K26" s="628">
        <v>0</v>
      </c>
      <c r="L26" s="8"/>
      <c r="M26" s="1"/>
      <c r="N26" s="1"/>
      <c r="O26" s="1"/>
      <c r="P26" s="1"/>
      <c r="Q26" s="1"/>
    </row>
    <row r="27" spans="1:17">
      <c r="A27" s="5">
        <v>625</v>
      </c>
      <c r="B27" s="24" t="s">
        <v>196</v>
      </c>
      <c r="C27" s="628">
        <v>1370</v>
      </c>
      <c r="D27" s="663"/>
      <c r="E27" s="625">
        <v>118</v>
      </c>
      <c r="F27" s="625">
        <v>388.2</v>
      </c>
      <c r="G27" s="626">
        <f t="shared" si="0"/>
        <v>388.2</v>
      </c>
      <c r="H27" s="629">
        <v>1876.2</v>
      </c>
      <c r="I27" s="172">
        <v>0</v>
      </c>
      <c r="J27" s="628">
        <v>0</v>
      </c>
      <c r="K27" s="628">
        <v>0</v>
      </c>
      <c r="L27" s="8"/>
      <c r="M27" s="1"/>
      <c r="N27" s="1"/>
      <c r="O27" s="1"/>
      <c r="P27" s="1"/>
      <c r="Q27" s="1"/>
    </row>
    <row r="28" spans="1:17">
      <c r="A28" s="5">
        <v>626</v>
      </c>
      <c r="B28" s="24" t="s">
        <v>197</v>
      </c>
      <c r="C28" s="628">
        <v>1340</v>
      </c>
      <c r="D28" s="663"/>
      <c r="E28" s="625">
        <v>122</v>
      </c>
      <c r="F28" s="625">
        <v>388.2</v>
      </c>
      <c r="G28" s="626">
        <f t="shared" si="0"/>
        <v>388.2</v>
      </c>
      <c r="H28" s="629">
        <v>1850.2</v>
      </c>
      <c r="I28" s="172">
        <v>0</v>
      </c>
      <c r="J28" s="628">
        <v>0</v>
      </c>
      <c r="K28" s="628">
        <v>0</v>
      </c>
      <c r="L28" s="8"/>
      <c r="M28" s="1"/>
      <c r="N28" s="1"/>
      <c r="O28" s="1"/>
      <c r="P28" s="1"/>
      <c r="Q28" s="1"/>
    </row>
    <row r="29" spans="1:17">
      <c r="A29" s="5">
        <v>627</v>
      </c>
      <c r="B29" s="24" t="s">
        <v>198</v>
      </c>
      <c r="C29" s="628">
        <v>1300</v>
      </c>
      <c r="D29" s="663"/>
      <c r="E29" s="625">
        <v>127</v>
      </c>
      <c r="F29" s="625">
        <v>388.2</v>
      </c>
      <c r="G29" s="626">
        <f t="shared" si="0"/>
        <v>388.2</v>
      </c>
      <c r="H29" s="629">
        <v>1815.2</v>
      </c>
      <c r="I29" s="172">
        <v>0</v>
      </c>
      <c r="J29" s="628">
        <v>0</v>
      </c>
      <c r="K29" s="628">
        <v>0</v>
      </c>
      <c r="L29" s="8"/>
      <c r="M29" s="1"/>
      <c r="N29" s="1"/>
      <c r="O29" s="1"/>
      <c r="P29" s="1"/>
      <c r="Q29" s="1"/>
    </row>
    <row r="30" spans="1:17">
      <c r="A30" s="5">
        <v>628</v>
      </c>
      <c r="B30" s="24" t="s">
        <v>199</v>
      </c>
      <c r="C30" s="628">
        <v>980</v>
      </c>
      <c r="D30" s="663"/>
      <c r="E30" s="625">
        <v>169</v>
      </c>
      <c r="F30" s="625">
        <v>0</v>
      </c>
      <c r="G30" s="626">
        <f t="shared" si="0"/>
        <v>0</v>
      </c>
      <c r="H30" s="629">
        <v>1149</v>
      </c>
      <c r="I30" s="172">
        <v>0</v>
      </c>
      <c r="J30" s="628">
        <v>0</v>
      </c>
      <c r="K30" s="628">
        <v>0</v>
      </c>
      <c r="L30" s="8"/>
      <c r="M30" s="1"/>
      <c r="N30" s="1"/>
      <c r="O30" s="1"/>
      <c r="P30" s="1"/>
      <c r="Q30" s="1"/>
    </row>
    <row r="31" spans="1:17">
      <c r="A31" s="5">
        <v>629</v>
      </c>
      <c r="B31" s="24" t="s">
        <v>200</v>
      </c>
      <c r="C31" s="628">
        <v>941</v>
      </c>
      <c r="D31" s="663"/>
      <c r="E31" s="625">
        <v>414.7</v>
      </c>
      <c r="F31" s="625">
        <v>0</v>
      </c>
      <c r="G31" s="626">
        <f t="shared" si="0"/>
        <v>0</v>
      </c>
      <c r="H31" s="629">
        <v>1268</v>
      </c>
      <c r="I31" s="172">
        <v>0</v>
      </c>
      <c r="J31" s="628">
        <v>0</v>
      </c>
      <c r="K31" s="628">
        <v>0</v>
      </c>
      <c r="L31" s="8"/>
      <c r="M31" s="1"/>
      <c r="N31" s="1"/>
      <c r="O31" s="1"/>
      <c r="P31" s="1"/>
      <c r="Q31" s="1"/>
    </row>
    <row r="32" spans="1:17">
      <c r="A32" s="5">
        <v>630</v>
      </c>
      <c r="B32" s="24" t="s">
        <v>201</v>
      </c>
      <c r="C32" s="628">
        <v>1170</v>
      </c>
      <c r="D32" s="663"/>
      <c r="E32" s="625">
        <v>144</v>
      </c>
      <c r="F32" s="625">
        <v>0</v>
      </c>
      <c r="G32" s="626">
        <f t="shared" si="0"/>
        <v>0</v>
      </c>
      <c r="H32" s="629">
        <v>1314</v>
      </c>
      <c r="I32" s="172">
        <v>0</v>
      </c>
      <c r="J32" s="628">
        <v>0</v>
      </c>
      <c r="K32" s="628">
        <v>0</v>
      </c>
      <c r="L32" s="8"/>
      <c r="M32" s="1"/>
      <c r="N32" s="1"/>
      <c r="O32" s="1"/>
      <c r="P32" s="1"/>
      <c r="Q32" s="1"/>
    </row>
    <row r="33" spans="1:17">
      <c r="A33" s="5">
        <v>631</v>
      </c>
      <c r="B33" s="24" t="s">
        <v>202</v>
      </c>
      <c r="C33" s="628">
        <v>1170</v>
      </c>
      <c r="D33" s="663"/>
      <c r="E33" s="625">
        <v>144</v>
      </c>
      <c r="F33" s="625">
        <v>0</v>
      </c>
      <c r="G33" s="626">
        <f t="shared" si="0"/>
        <v>0</v>
      </c>
      <c r="H33" s="629">
        <v>1314</v>
      </c>
      <c r="I33" s="172">
        <v>0</v>
      </c>
      <c r="J33" s="628">
        <v>0</v>
      </c>
      <c r="K33" s="628">
        <v>0</v>
      </c>
      <c r="L33" s="8"/>
      <c r="M33" s="1"/>
      <c r="N33" s="1"/>
      <c r="O33" s="1"/>
      <c r="P33" s="1"/>
      <c r="Q33" s="1"/>
    </row>
    <row r="34" spans="1:17">
      <c r="A34" s="5">
        <v>632</v>
      </c>
      <c r="B34" s="24" t="s">
        <v>203</v>
      </c>
      <c r="C34" s="628">
        <v>941</v>
      </c>
      <c r="D34" s="663"/>
      <c r="E34" s="625">
        <v>414.7</v>
      </c>
      <c r="F34" s="625">
        <v>0</v>
      </c>
      <c r="G34" s="626">
        <f t="shared" si="0"/>
        <v>0</v>
      </c>
      <c r="H34" s="629">
        <v>1268</v>
      </c>
      <c r="I34" s="172">
        <v>0</v>
      </c>
      <c r="J34" s="628">
        <v>0</v>
      </c>
      <c r="K34" s="628">
        <v>0</v>
      </c>
      <c r="L34" s="8"/>
      <c r="M34" s="1"/>
      <c r="N34" s="1"/>
      <c r="O34" s="1"/>
      <c r="P34" s="1"/>
      <c r="Q34" s="1"/>
    </row>
    <row r="35" spans="1:17">
      <c r="A35" s="5">
        <v>633</v>
      </c>
      <c r="B35" s="24" t="s">
        <v>204</v>
      </c>
      <c r="C35" s="628">
        <v>941</v>
      </c>
      <c r="D35" s="663"/>
      <c r="E35" s="625">
        <v>414.7</v>
      </c>
      <c r="F35" s="625">
        <v>0</v>
      </c>
      <c r="G35" s="626">
        <f t="shared" si="0"/>
        <v>0</v>
      </c>
      <c r="H35" s="629">
        <v>1268</v>
      </c>
      <c r="I35" s="172">
        <v>0</v>
      </c>
      <c r="J35" s="628">
        <v>0</v>
      </c>
      <c r="K35" s="628">
        <v>0</v>
      </c>
      <c r="L35" s="8"/>
      <c r="M35" s="1"/>
      <c r="N35" s="1"/>
      <c r="O35" s="1"/>
      <c r="P35" s="1"/>
      <c r="Q35" s="1"/>
    </row>
    <row r="36" spans="1:17">
      <c r="A36" s="5">
        <v>634</v>
      </c>
      <c r="B36" s="24" t="s">
        <v>205</v>
      </c>
      <c r="C36" s="628">
        <v>971</v>
      </c>
      <c r="D36" s="663"/>
      <c r="E36" s="625">
        <v>414.7</v>
      </c>
      <c r="F36" s="625">
        <v>0</v>
      </c>
      <c r="G36" s="626">
        <f t="shared" si="0"/>
        <v>0</v>
      </c>
      <c r="H36" s="629">
        <v>1298</v>
      </c>
      <c r="I36" s="172">
        <v>0</v>
      </c>
      <c r="J36" s="628">
        <v>0</v>
      </c>
      <c r="K36" s="628">
        <v>0</v>
      </c>
      <c r="L36" s="8"/>
      <c r="M36" s="1"/>
      <c r="N36" s="1"/>
      <c r="O36" s="1"/>
      <c r="P36" s="1"/>
      <c r="Q36" s="1"/>
    </row>
    <row r="37" spans="1:17">
      <c r="A37" s="5">
        <v>635</v>
      </c>
      <c r="B37" s="24" t="s">
        <v>206</v>
      </c>
      <c r="C37" s="628">
        <v>1610</v>
      </c>
      <c r="D37" s="663"/>
      <c r="E37" s="625">
        <v>87</v>
      </c>
      <c r="F37" s="625">
        <v>388.2</v>
      </c>
      <c r="G37" s="626">
        <f t="shared" si="0"/>
        <v>388.2</v>
      </c>
      <c r="H37" s="629">
        <v>2085.1999999999998</v>
      </c>
      <c r="I37" s="172">
        <v>0</v>
      </c>
      <c r="J37" s="628">
        <v>0</v>
      </c>
      <c r="K37" s="628">
        <v>0</v>
      </c>
      <c r="L37" s="8"/>
      <c r="M37" s="1"/>
      <c r="N37" s="1"/>
      <c r="O37" s="1"/>
      <c r="P37" s="1"/>
      <c r="Q37" s="1"/>
    </row>
    <row r="38" spans="1:17">
      <c r="A38" s="5">
        <v>636</v>
      </c>
      <c r="B38" s="24" t="s">
        <v>207</v>
      </c>
      <c r="C38" s="628">
        <v>971</v>
      </c>
      <c r="D38" s="663"/>
      <c r="E38" s="625">
        <v>414.7</v>
      </c>
      <c r="F38" s="625">
        <v>0</v>
      </c>
      <c r="G38" s="626">
        <f t="shared" si="0"/>
        <v>0</v>
      </c>
      <c r="H38" s="629">
        <v>1298</v>
      </c>
      <c r="I38" s="172">
        <v>0</v>
      </c>
      <c r="J38" s="628">
        <v>0</v>
      </c>
      <c r="K38" s="628">
        <v>0</v>
      </c>
      <c r="L38" s="8"/>
      <c r="M38" s="1"/>
      <c r="N38" s="1"/>
      <c r="O38" s="1"/>
      <c r="P38" s="1"/>
      <c r="Q38" s="1"/>
    </row>
    <row r="39" spans="1:17">
      <c r="A39" s="5">
        <v>637</v>
      </c>
      <c r="B39" s="24" t="s">
        <v>208</v>
      </c>
      <c r="C39" s="628">
        <v>971</v>
      </c>
      <c r="D39" s="663"/>
      <c r="E39" s="625">
        <v>414.7</v>
      </c>
      <c r="F39" s="625">
        <v>0</v>
      </c>
      <c r="G39" s="626">
        <f t="shared" si="0"/>
        <v>0</v>
      </c>
      <c r="H39" s="629">
        <v>1298</v>
      </c>
      <c r="I39" s="172">
        <v>0</v>
      </c>
      <c r="J39" s="628">
        <v>0</v>
      </c>
      <c r="K39" s="628">
        <v>0</v>
      </c>
      <c r="L39" s="8"/>
      <c r="M39" s="1"/>
      <c r="N39" s="1"/>
      <c r="O39" s="1"/>
      <c r="P39" s="1"/>
      <c r="Q39" s="1"/>
    </row>
    <row r="40" spans="1:17">
      <c r="A40" s="5">
        <v>638</v>
      </c>
      <c r="B40" s="24" t="s">
        <v>209</v>
      </c>
      <c r="C40" s="628">
        <v>906</v>
      </c>
      <c r="D40" s="663"/>
      <c r="E40" s="625">
        <v>414.7</v>
      </c>
      <c r="F40" s="625">
        <v>0</v>
      </c>
      <c r="G40" s="626">
        <f t="shared" si="0"/>
        <v>0</v>
      </c>
      <c r="H40" s="629">
        <v>1233</v>
      </c>
      <c r="I40" s="172">
        <v>0</v>
      </c>
      <c r="J40" s="628">
        <v>0</v>
      </c>
      <c r="K40" s="628">
        <v>0</v>
      </c>
      <c r="L40" s="8"/>
      <c r="M40" s="1"/>
      <c r="N40" s="1"/>
      <c r="O40" s="1"/>
      <c r="P40" s="1"/>
      <c r="Q40" s="1"/>
    </row>
    <row r="41" spans="1:17">
      <c r="A41" s="5">
        <v>639</v>
      </c>
      <c r="B41" s="24" t="s">
        <v>210</v>
      </c>
      <c r="C41" s="628">
        <v>1300</v>
      </c>
      <c r="D41" s="663"/>
      <c r="E41" s="625">
        <v>127</v>
      </c>
      <c r="F41" s="625">
        <v>0</v>
      </c>
      <c r="G41" s="626">
        <f t="shared" si="0"/>
        <v>0</v>
      </c>
      <c r="H41" s="629">
        <v>1427</v>
      </c>
      <c r="I41" s="172">
        <v>0</v>
      </c>
      <c r="J41" s="628">
        <v>0</v>
      </c>
      <c r="K41" s="628">
        <v>0</v>
      </c>
      <c r="L41" s="8"/>
      <c r="M41" s="1"/>
      <c r="N41" s="1"/>
      <c r="O41" s="1"/>
      <c r="P41" s="1"/>
      <c r="Q41" s="1"/>
    </row>
    <row r="42" spans="1:17">
      <c r="A42" s="5">
        <v>640</v>
      </c>
      <c r="B42" s="24" t="s">
        <v>211</v>
      </c>
      <c r="C42" s="628">
        <v>1680</v>
      </c>
      <c r="D42" s="663"/>
      <c r="E42" s="625">
        <v>77</v>
      </c>
      <c r="F42" s="625">
        <v>453</v>
      </c>
      <c r="G42" s="626">
        <f t="shared" si="0"/>
        <v>453</v>
      </c>
      <c r="H42" s="629">
        <v>1680</v>
      </c>
      <c r="I42" s="172">
        <v>0</v>
      </c>
      <c r="J42" s="628">
        <v>0</v>
      </c>
      <c r="K42" s="628">
        <v>0</v>
      </c>
      <c r="L42" s="8"/>
      <c r="M42" s="1"/>
      <c r="N42" s="1"/>
      <c r="O42" s="1"/>
      <c r="P42" s="1"/>
      <c r="Q42" s="1"/>
    </row>
    <row r="43" spans="1:17">
      <c r="A43" s="5">
        <v>641</v>
      </c>
      <c r="B43" s="24" t="s">
        <v>212</v>
      </c>
      <c r="C43" s="628">
        <v>1300</v>
      </c>
      <c r="D43" s="663"/>
      <c r="E43" s="625">
        <v>127</v>
      </c>
      <c r="F43" s="625">
        <v>388</v>
      </c>
      <c r="G43" s="626">
        <f t="shared" si="0"/>
        <v>388</v>
      </c>
      <c r="H43" s="629">
        <v>1394</v>
      </c>
      <c r="I43" s="172">
        <v>0</v>
      </c>
      <c r="J43" s="628">
        <v>0</v>
      </c>
      <c r="K43" s="628">
        <v>0</v>
      </c>
      <c r="L43" s="8"/>
      <c r="M43" s="1"/>
      <c r="N43" s="1"/>
      <c r="O43" s="1"/>
      <c r="P43" s="1"/>
      <c r="Q43" s="1"/>
    </row>
    <row r="44" spans="1:17">
      <c r="A44" s="5">
        <v>642</v>
      </c>
      <c r="B44" s="24" t="s">
        <v>213</v>
      </c>
      <c r="C44" s="628">
        <v>2913</v>
      </c>
      <c r="D44" s="663"/>
      <c r="E44" s="625">
        <v>0</v>
      </c>
      <c r="F44" s="625">
        <v>776</v>
      </c>
      <c r="G44" s="626">
        <f t="shared" si="0"/>
        <v>776</v>
      </c>
      <c r="H44" s="629">
        <v>3057</v>
      </c>
      <c r="I44" s="172">
        <v>0</v>
      </c>
      <c r="J44" s="628">
        <v>0</v>
      </c>
      <c r="K44" s="628">
        <v>0</v>
      </c>
      <c r="L44" s="8"/>
      <c r="M44" s="1"/>
      <c r="N44" s="1"/>
      <c r="O44" s="1"/>
      <c r="P44" s="1"/>
      <c r="Q44" s="1"/>
    </row>
    <row r="45" spans="1:17">
      <c r="A45" s="5">
        <v>643</v>
      </c>
      <c r="B45" s="24" t="s">
        <v>214</v>
      </c>
      <c r="C45" s="628">
        <v>1500</v>
      </c>
      <c r="D45" s="663"/>
      <c r="E45" s="625">
        <v>101</v>
      </c>
      <c r="F45" s="625">
        <v>388.2</v>
      </c>
      <c r="G45" s="626">
        <f t="shared" si="0"/>
        <v>388.2</v>
      </c>
      <c r="H45" s="629">
        <v>1989.2</v>
      </c>
      <c r="I45" s="172">
        <v>0</v>
      </c>
      <c r="J45" s="628">
        <v>0</v>
      </c>
      <c r="K45" s="628">
        <v>0</v>
      </c>
      <c r="L45" s="8"/>
      <c r="M45" s="1"/>
      <c r="N45" s="1"/>
      <c r="O45" s="1"/>
      <c r="P45" s="1"/>
      <c r="Q45" s="1"/>
    </row>
    <row r="46" spans="1:17">
      <c r="A46" s="5">
        <v>644</v>
      </c>
      <c r="B46" s="24" t="s">
        <v>215</v>
      </c>
      <c r="C46" s="628">
        <v>2490</v>
      </c>
      <c r="D46" s="663"/>
      <c r="E46" s="625">
        <v>0</v>
      </c>
      <c r="F46" s="625">
        <v>0</v>
      </c>
      <c r="G46" s="626">
        <f t="shared" si="0"/>
        <v>0</v>
      </c>
      <c r="H46" s="629">
        <v>2490</v>
      </c>
      <c r="I46" s="172">
        <v>0</v>
      </c>
      <c r="J46" s="628">
        <v>0</v>
      </c>
      <c r="K46" s="628">
        <v>0</v>
      </c>
      <c r="L46" s="8"/>
      <c r="M46" s="1"/>
      <c r="N46" s="1"/>
      <c r="O46" s="1"/>
      <c r="P46" s="1"/>
      <c r="Q46" s="1"/>
    </row>
    <row r="47" spans="1:17">
      <c r="A47" s="5">
        <v>645</v>
      </c>
      <c r="B47" s="24" t="s">
        <v>216</v>
      </c>
      <c r="C47" s="628">
        <v>2329</v>
      </c>
      <c r="D47" s="663"/>
      <c r="E47" s="625">
        <v>0</v>
      </c>
      <c r="F47" s="625">
        <v>0</v>
      </c>
      <c r="G47" s="626">
        <f t="shared" si="0"/>
        <v>0</v>
      </c>
      <c r="H47" s="629">
        <v>2329</v>
      </c>
      <c r="I47" s="172">
        <v>0</v>
      </c>
      <c r="J47" s="628">
        <v>0</v>
      </c>
      <c r="K47" s="628">
        <v>0</v>
      </c>
      <c r="L47" s="8"/>
      <c r="M47" s="1"/>
      <c r="N47" s="1"/>
      <c r="O47" s="1"/>
      <c r="P47" s="1"/>
      <c r="Q47" s="1"/>
    </row>
    <row r="48" spans="1:17">
      <c r="A48" s="5">
        <v>646</v>
      </c>
      <c r="B48" s="24" t="s">
        <v>217</v>
      </c>
      <c r="C48" s="628">
        <v>906</v>
      </c>
      <c r="D48" s="663"/>
      <c r="E48" s="625">
        <v>414.7</v>
      </c>
      <c r="F48" s="625">
        <v>0</v>
      </c>
      <c r="G48" s="626">
        <f t="shared" si="0"/>
        <v>0</v>
      </c>
      <c r="H48" s="629">
        <v>1233</v>
      </c>
      <c r="I48" s="172">
        <v>0</v>
      </c>
      <c r="J48" s="628">
        <v>0</v>
      </c>
      <c r="K48" s="628">
        <v>0</v>
      </c>
      <c r="L48" s="8"/>
      <c r="M48" s="1"/>
      <c r="N48" s="1"/>
      <c r="O48" s="1"/>
      <c r="P48" s="1"/>
      <c r="Q48" s="1"/>
    </row>
    <row r="49" spans="1:17">
      <c r="A49" s="5">
        <v>647</v>
      </c>
      <c r="B49" s="24" t="s">
        <v>218</v>
      </c>
      <c r="C49" s="628">
        <v>1830</v>
      </c>
      <c r="D49" s="663"/>
      <c r="E49" s="625">
        <v>58</v>
      </c>
      <c r="F49" s="625">
        <v>0</v>
      </c>
      <c r="G49" s="626">
        <f t="shared" si="0"/>
        <v>0</v>
      </c>
      <c r="H49" s="629">
        <v>1888</v>
      </c>
      <c r="I49" s="172">
        <v>0</v>
      </c>
      <c r="J49" s="628">
        <v>0</v>
      </c>
      <c r="K49" s="628">
        <v>0</v>
      </c>
      <c r="L49" s="8"/>
      <c r="M49" s="1"/>
      <c r="N49" s="1"/>
      <c r="O49" s="1"/>
      <c r="P49" s="1"/>
      <c r="Q49" s="1"/>
    </row>
    <row r="50" spans="1:17">
      <c r="A50" s="5">
        <v>648</v>
      </c>
      <c r="B50" s="24" t="s">
        <v>219</v>
      </c>
      <c r="C50" s="628">
        <v>1740</v>
      </c>
      <c r="D50" s="663"/>
      <c r="E50" s="625">
        <v>70</v>
      </c>
      <c r="F50" s="625">
        <v>517.6</v>
      </c>
      <c r="G50" s="626">
        <f t="shared" si="0"/>
        <v>517.6</v>
      </c>
      <c r="H50" s="629">
        <v>2327.6</v>
      </c>
      <c r="I50" s="172">
        <v>0</v>
      </c>
      <c r="J50" s="628">
        <v>0</v>
      </c>
      <c r="K50" s="628">
        <v>0</v>
      </c>
      <c r="L50" s="8"/>
      <c r="M50" s="1"/>
      <c r="N50" s="1"/>
      <c r="O50" s="1"/>
      <c r="P50" s="1"/>
      <c r="Q50" s="1"/>
    </row>
    <row r="51" spans="1:17">
      <c r="A51" s="5">
        <v>649</v>
      </c>
      <c r="B51" s="24" t="s">
        <v>220</v>
      </c>
      <c r="C51" s="628">
        <v>971</v>
      </c>
      <c r="D51" s="663"/>
      <c r="E51" s="625">
        <v>414.7</v>
      </c>
      <c r="F51" s="625">
        <v>0</v>
      </c>
      <c r="G51" s="626">
        <f t="shared" si="0"/>
        <v>0</v>
      </c>
      <c r="H51" s="629">
        <v>1298</v>
      </c>
      <c r="I51" s="172">
        <v>0</v>
      </c>
      <c r="J51" s="628">
        <v>0</v>
      </c>
      <c r="K51" s="628">
        <v>0</v>
      </c>
      <c r="L51" s="8"/>
      <c r="M51" s="1"/>
      <c r="N51" s="1"/>
      <c r="O51" s="1"/>
      <c r="P51" s="1"/>
      <c r="Q51" s="1"/>
    </row>
    <row r="52" spans="1:17">
      <c r="A52" s="5">
        <v>650</v>
      </c>
      <c r="B52" s="24" t="s">
        <v>221</v>
      </c>
      <c r="C52" s="628">
        <v>1740</v>
      </c>
      <c r="D52" s="663"/>
      <c r="E52" s="625">
        <v>70</v>
      </c>
      <c r="F52" s="625">
        <v>0</v>
      </c>
      <c r="G52" s="626">
        <f t="shared" si="0"/>
        <v>0</v>
      </c>
      <c r="H52" s="629">
        <v>1810</v>
      </c>
      <c r="I52" s="172">
        <v>0</v>
      </c>
      <c r="J52" s="628">
        <v>750</v>
      </c>
      <c r="K52" s="628">
        <v>0</v>
      </c>
      <c r="L52" s="8"/>
      <c r="M52" s="1"/>
      <c r="N52" s="1"/>
      <c r="O52" s="1"/>
      <c r="P52" s="1"/>
      <c r="Q52" s="1"/>
    </row>
    <row r="53" spans="1:17">
      <c r="A53" s="5">
        <v>651</v>
      </c>
      <c r="B53" s="24" t="s">
        <v>222</v>
      </c>
      <c r="C53" s="628">
        <v>971</v>
      </c>
      <c r="D53" s="663"/>
      <c r="E53" s="625">
        <v>414.7</v>
      </c>
      <c r="F53" s="625">
        <v>0</v>
      </c>
      <c r="G53" s="626">
        <f t="shared" si="0"/>
        <v>0</v>
      </c>
      <c r="H53" s="629">
        <v>1298</v>
      </c>
      <c r="I53" s="172">
        <v>0</v>
      </c>
      <c r="J53" s="628">
        <v>0</v>
      </c>
      <c r="K53" s="628">
        <v>0</v>
      </c>
      <c r="L53" s="8"/>
      <c r="M53" s="1"/>
      <c r="N53" s="1"/>
      <c r="O53" s="1"/>
      <c r="P53" s="1"/>
      <c r="Q53" s="1"/>
    </row>
    <row r="54" spans="1:17">
      <c r="A54" s="5">
        <v>652</v>
      </c>
      <c r="B54" s="24" t="s">
        <v>223</v>
      </c>
      <c r="C54" s="628">
        <v>1250</v>
      </c>
      <c r="D54" s="663"/>
      <c r="E54" s="625">
        <v>134</v>
      </c>
      <c r="F54" s="625">
        <v>0</v>
      </c>
      <c r="G54" s="626">
        <f t="shared" si="0"/>
        <v>0</v>
      </c>
      <c r="H54" s="629">
        <v>1384</v>
      </c>
      <c r="I54" s="172">
        <v>0</v>
      </c>
      <c r="J54" s="628">
        <v>0</v>
      </c>
      <c r="K54" s="628">
        <v>0</v>
      </c>
      <c r="L54" s="8"/>
      <c r="M54" s="1"/>
      <c r="N54" s="1"/>
      <c r="O54" s="1"/>
      <c r="P54" s="1"/>
      <c r="Q54" s="1"/>
    </row>
    <row r="55" spans="1:17">
      <c r="A55" s="5">
        <v>653</v>
      </c>
      <c r="B55" s="24" t="s">
        <v>224</v>
      </c>
      <c r="C55" s="628">
        <v>1400</v>
      </c>
      <c r="D55" s="663"/>
      <c r="E55" s="625">
        <v>114</v>
      </c>
      <c r="F55" s="625">
        <v>388</v>
      </c>
      <c r="G55" s="626">
        <f t="shared" si="0"/>
        <v>388</v>
      </c>
      <c r="H55" s="629">
        <v>1902</v>
      </c>
      <c r="I55" s="172">
        <v>0</v>
      </c>
      <c r="J55" s="628">
        <v>100</v>
      </c>
      <c r="K55" s="628">
        <v>0</v>
      </c>
      <c r="L55" s="8"/>
      <c r="M55" s="1"/>
      <c r="N55" s="1"/>
      <c r="O55" s="1"/>
      <c r="P55" s="1"/>
      <c r="Q55" s="1"/>
    </row>
    <row r="56" spans="1:17">
      <c r="A56" s="5">
        <v>654</v>
      </c>
      <c r="B56" s="24" t="s">
        <v>225</v>
      </c>
      <c r="C56" s="628">
        <v>1690</v>
      </c>
      <c r="D56" s="663"/>
      <c r="E56" s="625">
        <v>76</v>
      </c>
      <c r="F56" s="625">
        <v>453</v>
      </c>
      <c r="G56" s="626">
        <f t="shared" si="0"/>
        <v>453</v>
      </c>
      <c r="H56" s="629">
        <v>2219</v>
      </c>
      <c r="I56" s="172">
        <v>0</v>
      </c>
      <c r="J56" s="628">
        <v>300</v>
      </c>
      <c r="K56" s="628">
        <v>0</v>
      </c>
      <c r="L56" s="8"/>
      <c r="M56" s="1"/>
      <c r="N56" s="1"/>
      <c r="O56" s="1"/>
      <c r="P56" s="1"/>
      <c r="Q56" s="1"/>
    </row>
    <row r="57" spans="1:17">
      <c r="A57" s="5">
        <v>655</v>
      </c>
      <c r="B57" s="24" t="s">
        <v>226</v>
      </c>
      <c r="C57" s="628">
        <v>1550</v>
      </c>
      <c r="D57" s="663"/>
      <c r="E57" s="625">
        <v>94</v>
      </c>
      <c r="F57" s="625">
        <v>388</v>
      </c>
      <c r="G57" s="626">
        <f t="shared" si="0"/>
        <v>388</v>
      </c>
      <c r="H57" s="629">
        <v>2032</v>
      </c>
      <c r="I57" s="172">
        <v>0</v>
      </c>
      <c r="J57" s="628">
        <v>200</v>
      </c>
      <c r="K57" s="628">
        <v>0</v>
      </c>
      <c r="L57" s="8"/>
      <c r="M57" s="1"/>
      <c r="N57" s="1"/>
      <c r="O57" s="1"/>
      <c r="P57" s="1"/>
      <c r="Q57" s="1"/>
    </row>
    <row r="58" spans="1:17">
      <c r="A58" s="5">
        <v>657</v>
      </c>
      <c r="B58" s="24" t="s">
        <v>227</v>
      </c>
      <c r="C58" s="628">
        <v>1340</v>
      </c>
      <c r="D58" s="663"/>
      <c r="E58" s="625">
        <v>122</v>
      </c>
      <c r="F58" s="625">
        <v>0</v>
      </c>
      <c r="G58" s="626">
        <f t="shared" si="0"/>
        <v>0</v>
      </c>
      <c r="H58" s="629">
        <v>1462</v>
      </c>
      <c r="I58" s="172">
        <v>0</v>
      </c>
      <c r="J58" s="628">
        <v>0</v>
      </c>
      <c r="K58" s="628">
        <v>0</v>
      </c>
      <c r="L58" s="8"/>
      <c r="M58" s="1"/>
      <c r="N58" s="1"/>
      <c r="O58" s="1"/>
      <c r="P58" s="1"/>
      <c r="Q58" s="1"/>
    </row>
    <row r="59" spans="1:17">
      <c r="A59" s="5">
        <v>658</v>
      </c>
      <c r="B59" s="24" t="s">
        <v>228</v>
      </c>
      <c r="C59" s="628">
        <v>1300</v>
      </c>
      <c r="D59" s="663"/>
      <c r="E59" s="625">
        <v>127</v>
      </c>
      <c r="F59" s="625">
        <v>0</v>
      </c>
      <c r="G59" s="626">
        <f t="shared" si="0"/>
        <v>0</v>
      </c>
      <c r="H59" s="629">
        <v>1427</v>
      </c>
      <c r="I59" s="172">
        <v>0</v>
      </c>
      <c r="J59" s="628">
        <v>0</v>
      </c>
      <c r="K59" s="628">
        <v>0</v>
      </c>
      <c r="L59" s="8"/>
      <c r="M59" s="1"/>
      <c r="N59" s="1"/>
      <c r="O59" s="1"/>
      <c r="P59" s="1"/>
      <c r="Q59" s="1"/>
    </row>
    <row r="60" spans="1:17">
      <c r="A60" s="5">
        <v>659</v>
      </c>
      <c r="B60" s="24" t="s">
        <v>229</v>
      </c>
      <c r="C60" s="628">
        <v>1340</v>
      </c>
      <c r="D60" s="663"/>
      <c r="E60" s="625">
        <v>122</v>
      </c>
      <c r="F60" s="625">
        <v>0</v>
      </c>
      <c r="G60" s="626">
        <f t="shared" si="0"/>
        <v>0</v>
      </c>
      <c r="H60" s="629">
        <v>1462</v>
      </c>
      <c r="I60" s="172">
        <v>0</v>
      </c>
      <c r="J60" s="628">
        <v>0</v>
      </c>
      <c r="K60" s="628">
        <v>0</v>
      </c>
      <c r="L60" s="8"/>
      <c r="M60" s="1"/>
      <c r="N60" s="1"/>
      <c r="O60" s="1"/>
      <c r="P60" s="1"/>
      <c r="Q60" s="1"/>
    </row>
    <row r="61" spans="1:17">
      <c r="A61" s="5">
        <v>660</v>
      </c>
      <c r="B61" s="24" t="s">
        <v>230</v>
      </c>
      <c r="C61" s="628">
        <v>1300</v>
      </c>
      <c r="D61" s="663"/>
      <c r="E61" s="625">
        <v>127</v>
      </c>
      <c r="F61" s="625">
        <v>0</v>
      </c>
      <c r="G61" s="626">
        <f t="shared" si="0"/>
        <v>0</v>
      </c>
      <c r="H61" s="629">
        <v>1427</v>
      </c>
      <c r="I61" s="172">
        <v>0</v>
      </c>
      <c r="J61" s="628">
        <v>0</v>
      </c>
      <c r="K61" s="628">
        <v>0</v>
      </c>
      <c r="L61" s="8"/>
      <c r="M61" s="1"/>
      <c r="N61" s="1"/>
      <c r="O61" s="1"/>
      <c r="P61" s="1"/>
      <c r="Q61" s="1"/>
    </row>
    <row r="62" spans="1:17">
      <c r="A62" s="5">
        <v>661</v>
      </c>
      <c r="B62" s="24" t="s">
        <v>231</v>
      </c>
      <c r="C62" s="628">
        <v>1300</v>
      </c>
      <c r="D62" s="663"/>
      <c r="E62" s="625">
        <v>127</v>
      </c>
      <c r="F62" s="625">
        <v>0</v>
      </c>
      <c r="G62" s="626">
        <f t="shared" si="0"/>
        <v>0</v>
      </c>
      <c r="H62" s="629">
        <v>1427</v>
      </c>
      <c r="I62" s="172">
        <v>0</v>
      </c>
      <c r="J62" s="628">
        <v>0</v>
      </c>
      <c r="K62" s="628">
        <v>0</v>
      </c>
      <c r="L62" s="8"/>
      <c r="M62" s="1"/>
      <c r="N62" s="1"/>
      <c r="O62" s="1"/>
      <c r="P62" s="1"/>
      <c r="Q62" s="1"/>
    </row>
    <row r="63" spans="1:17">
      <c r="A63" s="5">
        <v>662</v>
      </c>
      <c r="B63" s="24" t="s">
        <v>232</v>
      </c>
      <c r="C63" s="628">
        <v>1690</v>
      </c>
      <c r="D63" s="663"/>
      <c r="E63" s="625">
        <v>76</v>
      </c>
      <c r="F63" s="625">
        <v>0</v>
      </c>
      <c r="G63" s="626">
        <f t="shared" si="0"/>
        <v>0</v>
      </c>
      <c r="H63" s="629">
        <v>1766</v>
      </c>
      <c r="I63" s="172">
        <v>0</v>
      </c>
      <c r="J63" s="628">
        <v>708</v>
      </c>
      <c r="K63" s="628">
        <v>0</v>
      </c>
      <c r="L63" s="8"/>
      <c r="M63" s="1"/>
      <c r="N63" s="1"/>
      <c r="O63" s="1"/>
      <c r="P63" s="1"/>
      <c r="Q63" s="1"/>
    </row>
    <row r="64" spans="1:17">
      <c r="A64" s="5">
        <v>663</v>
      </c>
      <c r="B64" s="24" t="s">
        <v>233</v>
      </c>
      <c r="C64" s="628">
        <v>1500</v>
      </c>
      <c r="D64" s="663"/>
      <c r="E64" s="625">
        <v>101</v>
      </c>
      <c r="F64" s="625">
        <v>388</v>
      </c>
      <c r="G64" s="626">
        <f t="shared" si="0"/>
        <v>388</v>
      </c>
      <c r="H64" s="629">
        <v>1989</v>
      </c>
      <c r="I64" s="172">
        <v>0</v>
      </c>
      <c r="J64" s="628">
        <v>0</v>
      </c>
      <c r="K64" s="628">
        <v>0</v>
      </c>
      <c r="L64" s="8"/>
      <c r="M64" s="1"/>
      <c r="N64" s="1"/>
      <c r="O64" s="1"/>
      <c r="P64" s="1"/>
      <c r="Q64" s="1"/>
    </row>
    <row r="65" spans="1:17">
      <c r="A65" s="5">
        <v>664</v>
      </c>
      <c r="B65" s="24" t="s">
        <v>234</v>
      </c>
      <c r="C65" s="628">
        <v>971</v>
      </c>
      <c r="D65" s="663"/>
      <c r="E65" s="625">
        <v>414.7</v>
      </c>
      <c r="F65" s="625">
        <v>0</v>
      </c>
      <c r="G65" s="626">
        <f t="shared" si="0"/>
        <v>0</v>
      </c>
      <c r="H65" s="629">
        <v>1298</v>
      </c>
      <c r="I65" s="172">
        <v>0</v>
      </c>
      <c r="J65" s="628">
        <v>620</v>
      </c>
      <c r="K65" s="628">
        <v>0</v>
      </c>
      <c r="L65" s="8"/>
      <c r="M65" s="1"/>
      <c r="N65" s="1"/>
      <c r="O65" s="1"/>
      <c r="P65" s="1"/>
      <c r="Q65" s="1"/>
    </row>
    <row r="66" spans="1:17">
      <c r="A66" s="5">
        <v>667</v>
      </c>
      <c r="B66" s="24" t="s">
        <v>235</v>
      </c>
      <c r="C66" s="628">
        <v>2000</v>
      </c>
      <c r="D66" s="663"/>
      <c r="E66" s="625">
        <v>36</v>
      </c>
      <c r="F66" s="625">
        <v>647</v>
      </c>
      <c r="G66" s="626">
        <f t="shared" si="0"/>
        <v>647</v>
      </c>
      <c r="H66" s="629">
        <v>2683</v>
      </c>
      <c r="I66" s="172">
        <v>0</v>
      </c>
      <c r="J66" s="628">
        <v>830</v>
      </c>
      <c r="K66" s="628">
        <v>0</v>
      </c>
      <c r="L66" s="8"/>
      <c r="M66" s="1"/>
      <c r="N66" s="1"/>
      <c r="O66" s="1"/>
      <c r="P66" s="1"/>
      <c r="Q66" s="1"/>
    </row>
    <row r="67" spans="1:17">
      <c r="A67" s="5">
        <v>668</v>
      </c>
      <c r="B67" s="24" t="s">
        <v>236</v>
      </c>
      <c r="C67" s="628">
        <v>1840</v>
      </c>
      <c r="D67" s="663"/>
      <c r="E67" s="625">
        <v>57</v>
      </c>
      <c r="F67" s="625">
        <v>582.29999999999995</v>
      </c>
      <c r="G67" s="626">
        <f t="shared" ref="G67:G97" si="1">F67</f>
        <v>582.29999999999995</v>
      </c>
      <c r="H67" s="629">
        <v>2479.3000000000002</v>
      </c>
      <c r="I67" s="172">
        <v>0</v>
      </c>
      <c r="J67" s="628">
        <v>830</v>
      </c>
      <c r="K67" s="628">
        <v>0</v>
      </c>
      <c r="L67" s="8"/>
      <c r="M67" s="1"/>
      <c r="N67" s="1"/>
      <c r="O67" s="1"/>
      <c r="P67" s="1"/>
      <c r="Q67" s="1"/>
    </row>
    <row r="68" spans="1:17">
      <c r="A68" s="5">
        <v>669</v>
      </c>
      <c r="B68" s="24" t="s">
        <v>237</v>
      </c>
      <c r="C68" s="628">
        <v>1680</v>
      </c>
      <c r="D68" s="663"/>
      <c r="E68" s="625">
        <v>77</v>
      </c>
      <c r="F68" s="625">
        <v>452.9</v>
      </c>
      <c r="G68" s="626">
        <f t="shared" si="1"/>
        <v>452.9</v>
      </c>
      <c r="H68" s="629">
        <v>2209.9</v>
      </c>
      <c r="I68" s="172">
        <v>0</v>
      </c>
      <c r="J68" s="628">
        <v>830</v>
      </c>
      <c r="K68" s="628">
        <v>0</v>
      </c>
      <c r="L68" s="8"/>
      <c r="M68" s="1"/>
      <c r="N68" s="1"/>
      <c r="O68" s="1"/>
      <c r="P68" s="1"/>
      <c r="Q68" s="1"/>
    </row>
    <row r="69" spans="1:17">
      <c r="A69" s="5">
        <v>670</v>
      </c>
      <c r="B69" s="24" t="s">
        <v>238</v>
      </c>
      <c r="C69" s="628">
        <v>1740</v>
      </c>
      <c r="D69" s="663"/>
      <c r="E69" s="625">
        <v>70</v>
      </c>
      <c r="F69" s="625">
        <v>517.6</v>
      </c>
      <c r="G69" s="626">
        <f t="shared" si="1"/>
        <v>517.6</v>
      </c>
      <c r="H69" s="629">
        <v>2327.6</v>
      </c>
      <c r="I69" s="172">
        <v>0</v>
      </c>
      <c r="J69" s="628">
        <v>750</v>
      </c>
      <c r="K69" s="628">
        <v>0</v>
      </c>
      <c r="L69" s="8"/>
      <c r="M69" s="1"/>
      <c r="N69" s="1"/>
      <c r="O69" s="1"/>
      <c r="P69" s="1"/>
      <c r="Q69" s="1"/>
    </row>
    <row r="70" spans="1:17">
      <c r="A70" s="5">
        <v>671</v>
      </c>
      <c r="B70" s="24" t="s">
        <v>239</v>
      </c>
      <c r="C70" s="628">
        <v>1610</v>
      </c>
      <c r="D70" s="663"/>
      <c r="E70" s="625">
        <v>87</v>
      </c>
      <c r="F70" s="625">
        <v>0</v>
      </c>
      <c r="G70" s="626">
        <f t="shared" si="1"/>
        <v>0</v>
      </c>
      <c r="H70" s="629">
        <v>1697</v>
      </c>
      <c r="I70" s="172">
        <v>0</v>
      </c>
      <c r="J70" s="628">
        <v>750</v>
      </c>
      <c r="K70" s="628">
        <v>0</v>
      </c>
      <c r="L70" s="8"/>
      <c r="M70" s="1"/>
      <c r="N70" s="1"/>
      <c r="O70" s="1"/>
      <c r="P70" s="1"/>
      <c r="Q70" s="1"/>
    </row>
    <row r="71" spans="1:17">
      <c r="A71" s="5">
        <v>672</v>
      </c>
      <c r="B71" s="24" t="s">
        <v>240</v>
      </c>
      <c r="C71" s="628">
        <v>2000</v>
      </c>
      <c r="D71" s="663"/>
      <c r="E71" s="625">
        <v>36</v>
      </c>
      <c r="F71" s="625">
        <v>647</v>
      </c>
      <c r="G71" s="626">
        <f t="shared" si="1"/>
        <v>647</v>
      </c>
      <c r="H71" s="629">
        <v>2683</v>
      </c>
      <c r="I71" s="172">
        <v>0</v>
      </c>
      <c r="J71" s="628">
        <v>300</v>
      </c>
      <c r="K71" s="628">
        <v>0</v>
      </c>
      <c r="L71" s="8"/>
      <c r="M71" s="1"/>
      <c r="N71" s="1"/>
      <c r="O71" s="1"/>
      <c r="P71" s="1"/>
      <c r="Q71" s="1"/>
    </row>
    <row r="72" spans="1:17">
      <c r="A72" s="5">
        <v>673</v>
      </c>
      <c r="B72" s="24" t="s">
        <v>241</v>
      </c>
      <c r="C72" s="628">
        <v>1840</v>
      </c>
      <c r="D72" s="663"/>
      <c r="E72" s="625">
        <v>57</v>
      </c>
      <c r="F72" s="625">
        <v>582.29999999999995</v>
      </c>
      <c r="G72" s="626">
        <f t="shared" si="1"/>
        <v>582.29999999999995</v>
      </c>
      <c r="H72" s="629">
        <v>2479.3000000000002</v>
      </c>
      <c r="I72" s="172">
        <v>0</v>
      </c>
      <c r="J72" s="628">
        <v>300</v>
      </c>
      <c r="K72" s="628">
        <v>0</v>
      </c>
      <c r="L72" s="8"/>
      <c r="M72" s="1"/>
      <c r="N72" s="1"/>
      <c r="O72" s="1"/>
      <c r="P72" s="1"/>
      <c r="Q72" s="1"/>
    </row>
    <row r="73" spans="1:17">
      <c r="A73" s="5">
        <v>674</v>
      </c>
      <c r="B73" s="24" t="s">
        <v>242</v>
      </c>
      <c r="C73" s="628">
        <v>1680</v>
      </c>
      <c r="D73" s="663"/>
      <c r="E73" s="625">
        <v>77</v>
      </c>
      <c r="F73" s="625">
        <v>452.9</v>
      </c>
      <c r="G73" s="626">
        <f t="shared" si="1"/>
        <v>452.9</v>
      </c>
      <c r="H73" s="629">
        <v>2209.9</v>
      </c>
      <c r="I73" s="172">
        <v>0</v>
      </c>
      <c r="J73" s="628">
        <v>300</v>
      </c>
      <c r="K73" s="628">
        <v>0</v>
      </c>
      <c r="L73" s="8"/>
      <c r="M73" s="1"/>
      <c r="N73" s="1"/>
      <c r="O73" s="1"/>
      <c r="P73" s="1"/>
      <c r="Q73" s="1"/>
    </row>
    <row r="74" spans="1:17">
      <c r="A74" s="5">
        <v>675</v>
      </c>
      <c r="B74" s="24" t="s">
        <v>243</v>
      </c>
      <c r="C74" s="628">
        <v>1740</v>
      </c>
      <c r="D74" s="663"/>
      <c r="E74" s="625">
        <v>70</v>
      </c>
      <c r="F74" s="625">
        <v>517</v>
      </c>
      <c r="G74" s="626">
        <f t="shared" si="1"/>
        <v>517</v>
      </c>
      <c r="H74" s="629">
        <v>2327</v>
      </c>
      <c r="I74" s="172">
        <v>0</v>
      </c>
      <c r="J74" s="628">
        <v>725</v>
      </c>
      <c r="K74" s="628">
        <v>0</v>
      </c>
      <c r="L74" s="8"/>
      <c r="M74" s="1"/>
      <c r="N74" s="1"/>
      <c r="O74" s="1"/>
      <c r="P74" s="1"/>
      <c r="Q74" s="1"/>
    </row>
    <row r="75" spans="1:17">
      <c r="A75" s="5">
        <v>676</v>
      </c>
      <c r="B75" s="24" t="s">
        <v>244</v>
      </c>
      <c r="C75" s="628">
        <v>1610</v>
      </c>
      <c r="D75" s="663"/>
      <c r="E75" s="625">
        <v>87</v>
      </c>
      <c r="F75" s="625">
        <v>388</v>
      </c>
      <c r="G75" s="626">
        <f t="shared" si="1"/>
        <v>388</v>
      </c>
      <c r="H75" s="629">
        <v>2085</v>
      </c>
      <c r="I75" s="172">
        <v>0</v>
      </c>
      <c r="J75" s="628">
        <v>725</v>
      </c>
      <c r="K75" s="628">
        <v>0</v>
      </c>
      <c r="L75" s="8"/>
      <c r="M75" s="1"/>
      <c r="N75" s="1"/>
      <c r="O75" s="1"/>
      <c r="P75" s="1"/>
      <c r="Q75" s="1"/>
    </row>
    <row r="76" spans="1:17">
      <c r="A76" s="5">
        <v>677</v>
      </c>
      <c r="B76" s="24" t="s">
        <v>245</v>
      </c>
      <c r="C76" s="628">
        <v>1500</v>
      </c>
      <c r="D76" s="663"/>
      <c r="E76" s="625">
        <v>101</v>
      </c>
      <c r="F76" s="625">
        <v>388</v>
      </c>
      <c r="G76" s="626">
        <f t="shared" si="1"/>
        <v>388</v>
      </c>
      <c r="H76" s="629">
        <v>1989</v>
      </c>
      <c r="I76" s="172">
        <v>0</v>
      </c>
      <c r="J76" s="628">
        <v>725</v>
      </c>
      <c r="K76" s="628">
        <v>0</v>
      </c>
      <c r="L76" s="8"/>
      <c r="M76" s="1"/>
      <c r="N76" s="1"/>
      <c r="O76" s="1"/>
      <c r="P76" s="1"/>
      <c r="Q76" s="1"/>
    </row>
    <row r="77" spans="1:17">
      <c r="A77" s="5">
        <v>678</v>
      </c>
      <c r="B77" s="24" t="s">
        <v>246</v>
      </c>
      <c r="C77" s="628">
        <v>1320</v>
      </c>
      <c r="D77" s="663"/>
      <c r="E77" s="625">
        <v>124</v>
      </c>
      <c r="F77" s="625">
        <v>0</v>
      </c>
      <c r="G77" s="626">
        <f t="shared" si="1"/>
        <v>0</v>
      </c>
      <c r="H77" s="629">
        <v>1444</v>
      </c>
      <c r="I77" s="172">
        <v>0</v>
      </c>
      <c r="J77" s="628">
        <v>590</v>
      </c>
      <c r="K77" s="628">
        <v>0</v>
      </c>
      <c r="L77" s="8"/>
      <c r="M77" s="1"/>
      <c r="N77" s="1"/>
      <c r="O77" s="1"/>
      <c r="P77" s="1"/>
      <c r="Q77" s="1"/>
    </row>
    <row r="78" spans="1:17">
      <c r="A78" s="5">
        <v>679</v>
      </c>
      <c r="B78" s="24" t="s">
        <v>247</v>
      </c>
      <c r="C78" s="628">
        <v>1690</v>
      </c>
      <c r="D78" s="663"/>
      <c r="E78" s="625">
        <v>76</v>
      </c>
      <c r="F78" s="625">
        <v>0</v>
      </c>
      <c r="G78" s="626">
        <f t="shared" si="1"/>
        <v>0</v>
      </c>
      <c r="H78" s="629">
        <v>1766</v>
      </c>
      <c r="I78" s="172">
        <v>0</v>
      </c>
      <c r="J78" s="628">
        <v>708</v>
      </c>
      <c r="K78" s="628">
        <v>0</v>
      </c>
      <c r="L78" s="8"/>
      <c r="M78" s="1"/>
      <c r="N78" s="1"/>
      <c r="O78" s="1"/>
      <c r="P78" s="1"/>
      <c r="Q78" s="1"/>
    </row>
    <row r="79" spans="1:17">
      <c r="A79" s="5">
        <v>680</v>
      </c>
      <c r="B79" s="24" t="s">
        <v>248</v>
      </c>
      <c r="C79" s="628">
        <v>1550</v>
      </c>
      <c r="D79" s="663"/>
      <c r="E79" s="625">
        <v>94</v>
      </c>
      <c r="F79" s="625">
        <v>0</v>
      </c>
      <c r="G79" s="626">
        <f t="shared" si="1"/>
        <v>0</v>
      </c>
      <c r="H79" s="629">
        <v>1644</v>
      </c>
      <c r="I79" s="172">
        <v>0</v>
      </c>
      <c r="J79" s="628">
        <v>708</v>
      </c>
      <c r="K79" s="628">
        <v>0</v>
      </c>
      <c r="L79" s="8"/>
      <c r="M79" s="1"/>
      <c r="N79" s="1"/>
      <c r="O79" s="1"/>
      <c r="P79" s="1"/>
      <c r="Q79" s="1"/>
    </row>
    <row r="80" spans="1:17">
      <c r="A80" s="5">
        <v>681</v>
      </c>
      <c r="B80" s="24" t="s">
        <v>249</v>
      </c>
      <c r="C80" s="628">
        <v>1400</v>
      </c>
      <c r="D80" s="663"/>
      <c r="E80" s="625">
        <v>114</v>
      </c>
      <c r="F80" s="625">
        <v>0</v>
      </c>
      <c r="G80" s="626">
        <f t="shared" si="1"/>
        <v>0</v>
      </c>
      <c r="H80" s="629">
        <v>1514</v>
      </c>
      <c r="I80" s="172">
        <v>0</v>
      </c>
      <c r="J80" s="628">
        <v>708</v>
      </c>
      <c r="K80" s="628">
        <v>0</v>
      </c>
      <c r="L80" s="8"/>
      <c r="M80" s="1"/>
      <c r="N80" s="1"/>
      <c r="O80" s="1"/>
      <c r="P80" s="1"/>
      <c r="Q80" s="1"/>
    </row>
    <row r="81" spans="1:17">
      <c r="A81" s="5">
        <v>682</v>
      </c>
      <c r="B81" s="25" t="s">
        <v>250</v>
      </c>
      <c r="C81" s="628">
        <v>1170</v>
      </c>
      <c r="D81" s="663"/>
      <c r="E81" s="625">
        <v>144</v>
      </c>
      <c r="F81" s="625">
        <v>0</v>
      </c>
      <c r="G81" s="626">
        <f t="shared" si="1"/>
        <v>0</v>
      </c>
      <c r="H81" s="629">
        <v>1314</v>
      </c>
      <c r="I81" s="172">
        <v>0</v>
      </c>
      <c r="J81" s="628">
        <v>580</v>
      </c>
      <c r="K81" s="628">
        <v>0</v>
      </c>
      <c r="L81" s="8"/>
      <c r="M81" s="1"/>
      <c r="N81" s="1"/>
      <c r="O81" s="1"/>
      <c r="P81" s="1"/>
      <c r="Q81" s="1"/>
    </row>
    <row r="82" spans="1:17">
      <c r="A82" s="5">
        <v>683</v>
      </c>
      <c r="B82" s="25" t="s">
        <v>251</v>
      </c>
      <c r="C82" s="628">
        <v>1170</v>
      </c>
      <c r="D82" s="663"/>
      <c r="E82" s="625">
        <v>144</v>
      </c>
      <c r="F82" s="625">
        <v>0</v>
      </c>
      <c r="G82" s="626">
        <f t="shared" si="1"/>
        <v>0</v>
      </c>
      <c r="H82" s="629">
        <v>1314</v>
      </c>
      <c r="I82" s="172">
        <v>0</v>
      </c>
      <c r="J82" s="628">
        <v>580</v>
      </c>
      <c r="K82" s="628">
        <v>0</v>
      </c>
      <c r="L82" s="8"/>
      <c r="M82" s="1"/>
      <c r="N82" s="1"/>
      <c r="O82" s="1"/>
      <c r="P82" s="1"/>
      <c r="Q82" s="1"/>
    </row>
    <row r="83" spans="1:17">
      <c r="A83" s="5">
        <v>684</v>
      </c>
      <c r="B83" s="24" t="s">
        <v>252</v>
      </c>
      <c r="C83" s="628">
        <v>1170</v>
      </c>
      <c r="D83" s="663"/>
      <c r="E83" s="625">
        <v>144</v>
      </c>
      <c r="F83" s="625">
        <v>0</v>
      </c>
      <c r="G83" s="626">
        <f t="shared" si="1"/>
        <v>0</v>
      </c>
      <c r="H83" s="629">
        <v>1314</v>
      </c>
      <c r="I83" s="172">
        <v>0</v>
      </c>
      <c r="J83" s="628">
        <v>580</v>
      </c>
      <c r="K83" s="628">
        <v>0</v>
      </c>
      <c r="L83" s="8"/>
      <c r="M83" s="1"/>
      <c r="N83" s="1"/>
      <c r="O83" s="1"/>
      <c r="P83" s="1"/>
      <c r="Q83" s="1"/>
    </row>
    <row r="84" spans="1:17">
      <c r="A84" s="5">
        <v>685</v>
      </c>
      <c r="B84" s="24" t="s">
        <v>253</v>
      </c>
      <c r="C84" s="628">
        <v>1500</v>
      </c>
      <c r="D84" s="663"/>
      <c r="E84" s="625">
        <v>101</v>
      </c>
      <c r="F84" s="625">
        <v>388.2</v>
      </c>
      <c r="G84" s="626">
        <f t="shared" si="1"/>
        <v>388.2</v>
      </c>
      <c r="H84" s="629">
        <v>1989.2</v>
      </c>
      <c r="I84" s="172">
        <v>0</v>
      </c>
      <c r="J84" s="628">
        <v>750</v>
      </c>
      <c r="K84" s="628">
        <v>0</v>
      </c>
      <c r="L84" s="8"/>
      <c r="M84" s="1"/>
      <c r="N84" s="1"/>
      <c r="O84" s="1"/>
      <c r="P84" s="1"/>
      <c r="Q84" s="1"/>
    </row>
    <row r="85" spans="1:17">
      <c r="A85" s="5">
        <v>686</v>
      </c>
      <c r="B85" s="24" t="s">
        <v>254</v>
      </c>
      <c r="C85" s="628">
        <v>2000</v>
      </c>
      <c r="D85" s="663"/>
      <c r="E85" s="625">
        <v>36</v>
      </c>
      <c r="F85" s="625">
        <v>647</v>
      </c>
      <c r="G85" s="626">
        <f t="shared" si="1"/>
        <v>647</v>
      </c>
      <c r="H85" s="629">
        <v>2683</v>
      </c>
      <c r="I85" s="172">
        <v>0</v>
      </c>
      <c r="J85" s="628">
        <v>600</v>
      </c>
      <c r="K85" s="628">
        <v>0</v>
      </c>
      <c r="L85" s="8"/>
      <c r="M85" s="1"/>
      <c r="N85" s="1"/>
      <c r="O85" s="1"/>
      <c r="P85" s="1"/>
      <c r="Q85" s="1"/>
    </row>
    <row r="86" spans="1:17">
      <c r="A86" s="5">
        <v>687</v>
      </c>
      <c r="B86" s="24" t="s">
        <v>255</v>
      </c>
      <c r="C86" s="628">
        <v>1840</v>
      </c>
      <c r="D86" s="663"/>
      <c r="E86" s="625">
        <v>57</v>
      </c>
      <c r="F86" s="625">
        <v>582.29999999999995</v>
      </c>
      <c r="G86" s="626">
        <f t="shared" si="1"/>
        <v>582.29999999999995</v>
      </c>
      <c r="H86" s="629">
        <v>2479.3000000000002</v>
      </c>
      <c r="I86" s="172">
        <v>0</v>
      </c>
      <c r="J86" s="628">
        <v>600</v>
      </c>
      <c r="K86" s="628">
        <v>0</v>
      </c>
      <c r="L86" s="8"/>
      <c r="M86" s="1"/>
      <c r="N86" s="1"/>
      <c r="O86" s="1"/>
      <c r="P86" s="1"/>
      <c r="Q86" s="1"/>
    </row>
    <row r="87" spans="1:17">
      <c r="A87" s="5">
        <v>688</v>
      </c>
      <c r="B87" s="24" t="s">
        <v>256</v>
      </c>
      <c r="C87" s="628">
        <v>1680</v>
      </c>
      <c r="D87" s="663"/>
      <c r="E87" s="625">
        <v>77</v>
      </c>
      <c r="F87" s="625">
        <v>0</v>
      </c>
      <c r="G87" s="626">
        <f t="shared" si="1"/>
        <v>0</v>
      </c>
      <c r="H87" s="629">
        <v>1757</v>
      </c>
      <c r="I87" s="172">
        <v>0</v>
      </c>
      <c r="J87" s="628">
        <v>600</v>
      </c>
      <c r="K87" s="628">
        <v>0</v>
      </c>
      <c r="L87" s="8"/>
      <c r="M87" s="1"/>
      <c r="N87" s="1"/>
      <c r="O87" s="1"/>
      <c r="P87" s="1"/>
      <c r="Q87" s="1"/>
    </row>
    <row r="88" spans="1:17">
      <c r="A88" s="5">
        <v>689</v>
      </c>
      <c r="B88" s="25" t="s">
        <v>257</v>
      </c>
      <c r="C88" s="628">
        <v>1170</v>
      </c>
      <c r="D88" s="663"/>
      <c r="E88" s="625">
        <v>144</v>
      </c>
      <c r="F88" s="625">
        <v>0</v>
      </c>
      <c r="G88" s="626">
        <f t="shared" si="1"/>
        <v>0</v>
      </c>
      <c r="H88" s="629">
        <v>1314</v>
      </c>
      <c r="I88" s="172">
        <v>0</v>
      </c>
      <c r="J88" s="628">
        <v>580</v>
      </c>
      <c r="K88" s="628">
        <v>0</v>
      </c>
      <c r="L88" s="8"/>
      <c r="M88" s="1"/>
      <c r="N88" s="1"/>
      <c r="O88" s="1"/>
      <c r="P88" s="1"/>
      <c r="Q88" s="1"/>
    </row>
    <row r="89" spans="1:17">
      <c r="A89" s="5">
        <v>691</v>
      </c>
      <c r="B89" s="24" t="s">
        <v>258</v>
      </c>
      <c r="C89" s="628">
        <v>1500</v>
      </c>
      <c r="D89" s="663"/>
      <c r="E89" s="625">
        <v>101</v>
      </c>
      <c r="F89" s="625">
        <v>0</v>
      </c>
      <c r="G89" s="626">
        <f t="shared" si="1"/>
        <v>0</v>
      </c>
      <c r="H89" s="629">
        <v>1601</v>
      </c>
      <c r="I89" s="172">
        <v>0</v>
      </c>
      <c r="J89" s="628">
        <v>750</v>
      </c>
      <c r="K89" s="628">
        <v>0</v>
      </c>
      <c r="L89" s="8"/>
      <c r="M89" s="1"/>
      <c r="N89" s="1"/>
      <c r="O89" s="1"/>
      <c r="P89" s="1"/>
      <c r="Q89" s="1"/>
    </row>
    <row r="90" spans="1:17">
      <c r="A90" s="5">
        <v>692</v>
      </c>
      <c r="B90" s="24" t="s">
        <v>259</v>
      </c>
      <c r="C90" s="628">
        <v>1690</v>
      </c>
      <c r="D90" s="663"/>
      <c r="E90" s="625">
        <v>76</v>
      </c>
      <c r="F90" s="625">
        <v>0</v>
      </c>
      <c r="G90" s="626">
        <f t="shared" si="1"/>
        <v>0</v>
      </c>
      <c r="H90" s="629">
        <v>1766</v>
      </c>
      <c r="I90" s="172">
        <v>0</v>
      </c>
      <c r="J90" s="628">
        <v>620</v>
      </c>
      <c r="K90" s="628">
        <v>0</v>
      </c>
      <c r="L90" s="8"/>
      <c r="M90" s="1"/>
      <c r="N90" s="1"/>
      <c r="O90" s="1"/>
      <c r="P90" s="1"/>
      <c r="Q90" s="1"/>
    </row>
    <row r="91" spans="1:17">
      <c r="A91" s="5">
        <v>693</v>
      </c>
      <c r="B91" s="24" t="s">
        <v>260</v>
      </c>
      <c r="C91" s="628">
        <v>1550</v>
      </c>
      <c r="D91" s="663"/>
      <c r="E91" s="625">
        <v>94</v>
      </c>
      <c r="F91" s="625">
        <v>0</v>
      </c>
      <c r="G91" s="626">
        <f t="shared" si="1"/>
        <v>0</v>
      </c>
      <c r="H91" s="629">
        <v>1644</v>
      </c>
      <c r="I91" s="172">
        <v>0</v>
      </c>
      <c r="J91" s="628">
        <v>620</v>
      </c>
      <c r="K91" s="628">
        <v>0</v>
      </c>
      <c r="L91" s="8"/>
      <c r="M91" s="1"/>
      <c r="N91" s="1"/>
      <c r="O91" s="1"/>
      <c r="P91" s="1"/>
      <c r="Q91" s="1"/>
    </row>
    <row r="92" spans="1:17">
      <c r="A92" s="5">
        <v>694</v>
      </c>
      <c r="B92" s="24" t="s">
        <v>261</v>
      </c>
      <c r="C92" s="628">
        <v>1400</v>
      </c>
      <c r="D92" s="663"/>
      <c r="E92" s="625">
        <v>114</v>
      </c>
      <c r="F92" s="625">
        <v>0</v>
      </c>
      <c r="G92" s="626">
        <f t="shared" si="1"/>
        <v>0</v>
      </c>
      <c r="H92" s="629">
        <v>1514</v>
      </c>
      <c r="I92" s="172">
        <v>0</v>
      </c>
      <c r="J92" s="628">
        <v>620</v>
      </c>
      <c r="K92" s="628">
        <v>0</v>
      </c>
      <c r="L92" s="8"/>
      <c r="M92" s="1"/>
      <c r="N92" s="1"/>
      <c r="O92" s="1"/>
      <c r="P92" s="1"/>
      <c r="Q92" s="1"/>
    </row>
    <row r="93" spans="1:17">
      <c r="A93" s="5">
        <v>695</v>
      </c>
      <c r="B93" s="24" t="s">
        <v>262</v>
      </c>
      <c r="C93" s="628">
        <v>906</v>
      </c>
      <c r="D93" s="663"/>
      <c r="E93" s="625">
        <v>414.7</v>
      </c>
      <c r="F93" s="625">
        <v>0</v>
      </c>
      <c r="G93" s="626">
        <f t="shared" si="1"/>
        <v>0</v>
      </c>
      <c r="H93" s="629">
        <v>1233</v>
      </c>
      <c r="I93" s="172">
        <v>0</v>
      </c>
      <c r="J93" s="628">
        <v>0</v>
      </c>
      <c r="K93" s="628">
        <v>0</v>
      </c>
      <c r="L93" s="8"/>
      <c r="M93" s="1"/>
      <c r="N93" s="1"/>
      <c r="O93" s="1"/>
      <c r="P93" s="1"/>
      <c r="Q93" s="1"/>
    </row>
    <row r="94" spans="1:17">
      <c r="A94" s="5">
        <v>696</v>
      </c>
      <c r="B94" s="24" t="s">
        <v>263</v>
      </c>
      <c r="C94" s="628">
        <v>1500</v>
      </c>
      <c r="D94" s="663"/>
      <c r="E94" s="625">
        <v>101</v>
      </c>
      <c r="F94" s="625">
        <v>388.2</v>
      </c>
      <c r="G94" s="626">
        <f t="shared" si="1"/>
        <v>388.2</v>
      </c>
      <c r="H94" s="629">
        <v>1989.2</v>
      </c>
      <c r="I94" s="172">
        <v>0</v>
      </c>
      <c r="J94" s="628">
        <v>0</v>
      </c>
      <c r="K94" s="628">
        <v>0</v>
      </c>
      <c r="L94" s="8"/>
      <c r="M94" s="1"/>
      <c r="N94" s="1"/>
      <c r="O94" s="1"/>
      <c r="P94" s="1"/>
      <c r="Q94" s="1"/>
    </row>
    <row r="95" spans="1:17">
      <c r="A95" s="5">
        <v>697</v>
      </c>
      <c r="B95" s="24" t="s">
        <v>264</v>
      </c>
      <c r="C95" s="628">
        <v>1500</v>
      </c>
      <c r="D95" s="663"/>
      <c r="E95" s="625">
        <v>101</v>
      </c>
      <c r="F95" s="625">
        <v>0</v>
      </c>
      <c r="G95" s="626">
        <f t="shared" si="1"/>
        <v>0</v>
      </c>
      <c r="H95" s="629">
        <v>1601</v>
      </c>
      <c r="I95" s="172">
        <v>0</v>
      </c>
      <c r="J95" s="628">
        <v>0</v>
      </c>
      <c r="K95" s="628">
        <v>0</v>
      </c>
      <c r="L95" s="8"/>
      <c r="M95" s="1"/>
      <c r="N95" s="1"/>
      <c r="O95" s="1"/>
      <c r="P95" s="1"/>
      <c r="Q95" s="1"/>
    </row>
    <row r="96" spans="1:17">
      <c r="A96" s="5">
        <v>698</v>
      </c>
      <c r="B96" s="24" t="s">
        <v>265</v>
      </c>
      <c r="C96" s="628">
        <v>1690</v>
      </c>
      <c r="D96" s="663"/>
      <c r="E96" s="625">
        <v>76</v>
      </c>
      <c r="F96" s="625">
        <v>0</v>
      </c>
      <c r="G96" s="626">
        <f t="shared" si="1"/>
        <v>0</v>
      </c>
      <c r="H96" s="629">
        <v>1766</v>
      </c>
      <c r="I96" s="172">
        <v>0</v>
      </c>
      <c r="J96" s="628">
        <v>0</v>
      </c>
      <c r="K96" s="628">
        <v>0</v>
      </c>
      <c r="L96" s="8"/>
      <c r="M96" s="1"/>
      <c r="N96" s="1"/>
      <c r="O96" s="1"/>
      <c r="P96" s="1"/>
      <c r="Q96" s="1"/>
    </row>
    <row r="97" spans="1:17">
      <c r="A97" s="5">
        <v>699</v>
      </c>
      <c r="B97" s="24" t="s">
        <v>266</v>
      </c>
      <c r="C97" s="628">
        <v>1550</v>
      </c>
      <c r="D97" s="663"/>
      <c r="E97" s="625">
        <v>94</v>
      </c>
      <c r="F97" s="625">
        <v>0</v>
      </c>
      <c r="G97" s="626">
        <f t="shared" si="1"/>
        <v>0</v>
      </c>
      <c r="H97" s="629">
        <v>1644</v>
      </c>
      <c r="I97" s="172">
        <v>0</v>
      </c>
      <c r="J97" s="628">
        <v>0</v>
      </c>
      <c r="K97" s="628">
        <v>0</v>
      </c>
      <c r="L97" s="8"/>
      <c r="M97" s="1"/>
      <c r="N97" s="1"/>
      <c r="O97" s="1"/>
      <c r="P97" s="1"/>
      <c r="Q97" s="1"/>
    </row>
    <row r="98" spans="1:17">
      <c r="A98" s="26">
        <v>702</v>
      </c>
      <c r="B98" s="27" t="s">
        <v>267</v>
      </c>
      <c r="C98" s="632">
        <v>1400</v>
      </c>
      <c r="D98" s="663"/>
      <c r="E98" s="625">
        <v>114</v>
      </c>
      <c r="F98" s="625">
        <v>310</v>
      </c>
      <c r="G98" s="630">
        <f>F98*1.25</f>
        <v>387.5</v>
      </c>
      <c r="H98" s="629">
        <v>1727</v>
      </c>
      <c r="I98" s="631">
        <v>0</v>
      </c>
      <c r="J98" s="632">
        <v>0</v>
      </c>
      <c r="K98" s="632">
        <v>0</v>
      </c>
      <c r="L98" s="29"/>
      <c r="M98" s="30"/>
      <c r="N98" s="30"/>
      <c r="O98" s="30"/>
      <c r="P98" s="30"/>
      <c r="Q98" s="30"/>
    </row>
    <row r="99" spans="1:17">
      <c r="A99" s="5">
        <v>703</v>
      </c>
      <c r="B99" s="27" t="s">
        <v>268</v>
      </c>
      <c r="C99" s="628">
        <v>1400</v>
      </c>
      <c r="D99" s="663"/>
      <c r="E99" s="625">
        <v>114</v>
      </c>
      <c r="F99" s="625">
        <v>310</v>
      </c>
      <c r="G99" s="630">
        <f t="shared" ref="G99:G102" si="2">F99*1.25</f>
        <v>387.5</v>
      </c>
      <c r="H99" s="629">
        <v>1400</v>
      </c>
      <c r="I99" s="172">
        <v>0</v>
      </c>
      <c r="J99" s="628">
        <v>0</v>
      </c>
      <c r="K99" s="628">
        <v>0</v>
      </c>
      <c r="L99" s="8"/>
      <c r="M99" s="1"/>
      <c r="N99" s="1"/>
      <c r="O99" s="1"/>
      <c r="P99" s="1"/>
      <c r="Q99" s="1"/>
    </row>
    <row r="100" spans="1:17">
      <c r="A100" s="5">
        <v>704</v>
      </c>
      <c r="B100" s="27" t="s">
        <v>269</v>
      </c>
      <c r="C100" s="628">
        <v>1300</v>
      </c>
      <c r="D100" s="663"/>
      <c r="E100" s="625">
        <v>127</v>
      </c>
      <c r="F100" s="625">
        <v>310</v>
      </c>
      <c r="G100" s="630">
        <f t="shared" si="2"/>
        <v>387.5</v>
      </c>
      <c r="H100" s="629">
        <v>1673</v>
      </c>
      <c r="I100" s="172">
        <v>0</v>
      </c>
      <c r="J100" s="628">
        <v>0</v>
      </c>
      <c r="K100" s="628">
        <v>0</v>
      </c>
      <c r="L100" s="8"/>
      <c r="M100" s="1"/>
      <c r="N100" s="1"/>
      <c r="O100" s="1"/>
      <c r="P100" s="1"/>
      <c r="Q100" s="1"/>
    </row>
    <row r="101" spans="1:17">
      <c r="A101" s="5">
        <v>705</v>
      </c>
      <c r="B101" s="27" t="s">
        <v>270</v>
      </c>
      <c r="C101" s="628">
        <v>1300</v>
      </c>
      <c r="D101" s="663"/>
      <c r="E101" s="625">
        <v>127</v>
      </c>
      <c r="F101" s="625">
        <v>310</v>
      </c>
      <c r="G101" s="630">
        <f t="shared" si="2"/>
        <v>387.5</v>
      </c>
      <c r="H101" s="629">
        <v>1739</v>
      </c>
      <c r="I101" s="172">
        <v>0</v>
      </c>
      <c r="J101" s="628">
        <v>0</v>
      </c>
      <c r="K101" s="628">
        <v>0</v>
      </c>
      <c r="L101" s="8"/>
      <c r="M101" s="1"/>
      <c r="N101" s="1"/>
      <c r="O101" s="1"/>
      <c r="P101" s="1"/>
      <c r="Q101" s="1"/>
    </row>
    <row r="102" spans="1:17">
      <c r="A102" s="5">
        <v>706</v>
      </c>
      <c r="B102" s="27" t="s">
        <v>271</v>
      </c>
      <c r="C102" s="628">
        <v>1250</v>
      </c>
      <c r="D102" s="663"/>
      <c r="E102" s="625">
        <v>134</v>
      </c>
      <c r="F102" s="625">
        <v>310</v>
      </c>
      <c r="G102" s="630">
        <f t="shared" si="2"/>
        <v>387.5</v>
      </c>
      <c r="H102" s="629">
        <v>1250</v>
      </c>
      <c r="I102" s="172">
        <v>0</v>
      </c>
      <c r="J102" s="628">
        <v>0</v>
      </c>
      <c r="K102" s="628">
        <v>0</v>
      </c>
      <c r="L102" s="8"/>
      <c r="M102" s="1"/>
      <c r="N102" s="1"/>
      <c r="O102" s="1"/>
      <c r="P102" s="1"/>
      <c r="Q102" s="1"/>
    </row>
    <row r="103" spans="1:17">
      <c r="A103" s="5">
        <v>707</v>
      </c>
      <c r="B103" s="24" t="s">
        <v>272</v>
      </c>
      <c r="C103" s="628">
        <v>2913</v>
      </c>
      <c r="D103" s="663"/>
      <c r="E103" s="625">
        <v>0</v>
      </c>
      <c r="F103" s="625">
        <v>776</v>
      </c>
      <c r="G103" s="626">
        <f t="shared" ref="G103:G110" si="3">F103</f>
        <v>776</v>
      </c>
      <c r="H103" s="629">
        <v>3379</v>
      </c>
      <c r="I103" s="172">
        <v>0</v>
      </c>
      <c r="J103" s="628">
        <v>0</v>
      </c>
      <c r="K103" s="628">
        <v>0</v>
      </c>
      <c r="L103" s="8"/>
      <c r="M103" s="1"/>
      <c r="N103" s="1"/>
      <c r="O103" s="1"/>
      <c r="P103" s="1"/>
      <c r="Q103" s="1"/>
    </row>
    <row r="104" spans="1:17">
      <c r="A104" s="5">
        <v>708</v>
      </c>
      <c r="B104" s="24" t="s">
        <v>273</v>
      </c>
      <c r="C104" s="628">
        <v>3146</v>
      </c>
      <c r="D104" s="663"/>
      <c r="E104" s="625">
        <v>0</v>
      </c>
      <c r="F104" s="625">
        <v>776</v>
      </c>
      <c r="G104" s="626">
        <f t="shared" si="3"/>
        <v>776</v>
      </c>
      <c r="H104" s="629">
        <v>3612</v>
      </c>
      <c r="I104" s="172">
        <v>0</v>
      </c>
      <c r="J104" s="628">
        <v>0</v>
      </c>
      <c r="K104" s="628">
        <v>0</v>
      </c>
      <c r="L104" s="8"/>
      <c r="M104" s="1"/>
      <c r="N104" s="1"/>
      <c r="O104" s="1"/>
      <c r="P104" s="1"/>
      <c r="Q104" s="1"/>
    </row>
    <row r="105" spans="1:17">
      <c r="A105" s="5">
        <v>709</v>
      </c>
      <c r="B105" s="24" t="s">
        <v>274</v>
      </c>
      <c r="C105" s="628">
        <v>2913</v>
      </c>
      <c r="D105" s="663"/>
      <c r="E105" s="625">
        <v>0</v>
      </c>
      <c r="F105" s="625">
        <v>776</v>
      </c>
      <c r="G105" s="626">
        <f t="shared" si="3"/>
        <v>776</v>
      </c>
      <c r="H105" s="629">
        <v>3379</v>
      </c>
      <c r="I105" s="172">
        <v>0</v>
      </c>
      <c r="J105" s="628">
        <v>0</v>
      </c>
      <c r="K105" s="628">
        <v>0</v>
      </c>
      <c r="L105" s="8"/>
      <c r="M105" s="1"/>
      <c r="N105" s="1"/>
      <c r="O105" s="1"/>
      <c r="P105" s="1"/>
      <c r="Q105" s="1"/>
    </row>
    <row r="106" spans="1:17">
      <c r="A106" s="5">
        <v>710</v>
      </c>
      <c r="B106" s="24" t="s">
        <v>275</v>
      </c>
      <c r="C106" s="628">
        <v>2913</v>
      </c>
      <c r="D106" s="663"/>
      <c r="E106" s="625">
        <v>0</v>
      </c>
      <c r="F106" s="625">
        <v>776</v>
      </c>
      <c r="G106" s="626">
        <f t="shared" si="3"/>
        <v>776</v>
      </c>
      <c r="H106" s="629">
        <v>3379</v>
      </c>
      <c r="I106" s="172">
        <v>20</v>
      </c>
      <c r="J106" s="628">
        <v>0</v>
      </c>
      <c r="K106" s="628">
        <v>0</v>
      </c>
      <c r="L106" s="8"/>
      <c r="M106" s="1"/>
      <c r="N106" s="1"/>
      <c r="O106" s="1"/>
      <c r="P106" s="1"/>
      <c r="Q106" s="1"/>
    </row>
    <row r="107" spans="1:17">
      <c r="A107" s="5">
        <v>711</v>
      </c>
      <c r="B107" s="24" t="s">
        <v>276</v>
      </c>
      <c r="C107" s="628">
        <v>2913</v>
      </c>
      <c r="D107" s="663"/>
      <c r="E107" s="625">
        <v>0</v>
      </c>
      <c r="F107" s="625">
        <v>776</v>
      </c>
      <c r="G107" s="626">
        <f t="shared" si="3"/>
        <v>776</v>
      </c>
      <c r="H107" s="629">
        <v>3379</v>
      </c>
      <c r="I107" s="172">
        <v>0</v>
      </c>
      <c r="J107" s="628">
        <v>0</v>
      </c>
      <c r="K107" s="628">
        <v>0</v>
      </c>
      <c r="L107" s="8"/>
      <c r="M107" s="1"/>
      <c r="N107" s="1"/>
      <c r="O107" s="1"/>
      <c r="P107" s="1"/>
      <c r="Q107" s="1"/>
    </row>
    <row r="108" spans="1:17">
      <c r="A108" s="5">
        <v>712</v>
      </c>
      <c r="B108" s="24" t="s">
        <v>277</v>
      </c>
      <c r="C108" s="628">
        <v>2913</v>
      </c>
      <c r="D108" s="663"/>
      <c r="E108" s="625">
        <v>0</v>
      </c>
      <c r="F108" s="625">
        <v>776</v>
      </c>
      <c r="G108" s="626">
        <f t="shared" si="3"/>
        <v>776</v>
      </c>
      <c r="H108" s="629">
        <v>3379</v>
      </c>
      <c r="I108" s="172">
        <v>0</v>
      </c>
      <c r="J108" s="628">
        <v>0</v>
      </c>
      <c r="K108" s="628">
        <v>0</v>
      </c>
      <c r="L108" s="8"/>
      <c r="M108" s="1"/>
      <c r="N108" s="1"/>
      <c r="O108" s="1"/>
      <c r="P108" s="1"/>
      <c r="Q108" s="1"/>
    </row>
    <row r="109" spans="1:17">
      <c r="A109" s="5">
        <v>713</v>
      </c>
      <c r="B109" s="24" t="s">
        <v>278</v>
      </c>
      <c r="C109" s="628">
        <v>2913</v>
      </c>
      <c r="D109" s="663"/>
      <c r="E109" s="625">
        <v>0</v>
      </c>
      <c r="F109" s="625">
        <v>776</v>
      </c>
      <c r="G109" s="626">
        <f t="shared" si="3"/>
        <v>776</v>
      </c>
      <c r="H109" s="629">
        <v>3379</v>
      </c>
      <c r="I109" s="172">
        <v>0</v>
      </c>
      <c r="J109" s="628">
        <v>0</v>
      </c>
      <c r="K109" s="628">
        <v>0</v>
      </c>
      <c r="L109" s="8"/>
      <c r="M109" s="1"/>
      <c r="N109" s="1"/>
      <c r="O109" s="1"/>
      <c r="P109" s="1"/>
      <c r="Q109" s="1"/>
    </row>
    <row r="110" spans="1:17">
      <c r="A110" s="5">
        <v>714</v>
      </c>
      <c r="B110" s="24" t="s">
        <v>279</v>
      </c>
      <c r="C110" s="628">
        <v>2913</v>
      </c>
      <c r="D110" s="663"/>
      <c r="E110" s="625">
        <v>0</v>
      </c>
      <c r="F110" s="625">
        <v>0</v>
      </c>
      <c r="G110" s="626">
        <f t="shared" si="3"/>
        <v>0</v>
      </c>
      <c r="H110" s="629">
        <v>2913</v>
      </c>
      <c r="I110" s="172">
        <v>0</v>
      </c>
      <c r="J110" s="628">
        <v>0</v>
      </c>
      <c r="K110" s="628">
        <v>0</v>
      </c>
      <c r="L110" s="8"/>
      <c r="M110" s="1"/>
      <c r="N110" s="1"/>
      <c r="O110" s="1"/>
      <c r="P110" s="1"/>
      <c r="Q110" s="1"/>
    </row>
    <row r="111" spans="1:17">
      <c r="A111" s="5">
        <v>715</v>
      </c>
      <c r="B111" s="24" t="s">
        <v>280</v>
      </c>
      <c r="C111" s="628">
        <v>1912</v>
      </c>
      <c r="D111" s="663"/>
      <c r="E111" s="625">
        <v>47</v>
      </c>
      <c r="F111" s="625">
        <v>613.29999999999995</v>
      </c>
      <c r="G111" s="630">
        <f t="shared" ref="G111:G174" si="4">F111*1.25</f>
        <v>766.625</v>
      </c>
      <c r="H111" s="629">
        <v>2419</v>
      </c>
      <c r="I111" s="172">
        <v>0</v>
      </c>
      <c r="J111" s="628">
        <v>42</v>
      </c>
      <c r="K111" s="628">
        <v>0</v>
      </c>
      <c r="L111" s="8"/>
      <c r="M111" s="1"/>
      <c r="N111" s="1"/>
      <c r="O111" s="1"/>
      <c r="P111" s="1"/>
      <c r="Q111" s="1"/>
    </row>
    <row r="112" spans="1:17">
      <c r="A112" s="5">
        <v>716</v>
      </c>
      <c r="B112" s="24" t="s">
        <v>281</v>
      </c>
      <c r="C112" s="628">
        <v>1942</v>
      </c>
      <c r="D112" s="663">
        <v>744</v>
      </c>
      <c r="E112" s="625">
        <v>43</v>
      </c>
      <c r="F112" s="625">
        <v>517.29999999999995</v>
      </c>
      <c r="G112" s="630">
        <f t="shared" si="4"/>
        <v>646.625</v>
      </c>
      <c r="H112" s="629">
        <v>2373</v>
      </c>
      <c r="I112" s="172">
        <v>0</v>
      </c>
      <c r="J112" s="628">
        <v>0</v>
      </c>
      <c r="K112" s="628">
        <v>0</v>
      </c>
      <c r="L112" s="9">
        <v>782</v>
      </c>
      <c r="M112" s="1"/>
      <c r="N112" s="1"/>
      <c r="O112" s="1"/>
      <c r="P112" s="1"/>
      <c r="Q112" s="1"/>
    </row>
    <row r="113" spans="1:17">
      <c r="A113" s="5">
        <v>717</v>
      </c>
      <c r="B113" s="24" t="s">
        <v>282</v>
      </c>
      <c r="C113" s="628">
        <v>2100</v>
      </c>
      <c r="D113" s="663"/>
      <c r="E113" s="625">
        <v>23</v>
      </c>
      <c r="F113" s="625">
        <v>517.29999999999995</v>
      </c>
      <c r="G113" s="630">
        <f t="shared" si="4"/>
        <v>646.625</v>
      </c>
      <c r="H113" s="629">
        <v>2511</v>
      </c>
      <c r="I113" s="172">
        <v>150</v>
      </c>
      <c r="J113" s="628">
        <v>0</v>
      </c>
      <c r="K113" s="628">
        <v>0</v>
      </c>
      <c r="L113" s="8"/>
      <c r="M113" s="1"/>
      <c r="N113" s="1"/>
      <c r="O113" s="1"/>
      <c r="P113" s="1"/>
      <c r="Q113" s="1"/>
    </row>
    <row r="114" spans="1:17">
      <c r="A114" s="5">
        <v>718</v>
      </c>
      <c r="B114" s="24" t="s">
        <v>283</v>
      </c>
      <c r="C114" s="628">
        <v>1942</v>
      </c>
      <c r="D114" s="663"/>
      <c r="E114" s="625">
        <v>43</v>
      </c>
      <c r="F114" s="625">
        <v>517.29999999999995</v>
      </c>
      <c r="G114" s="630">
        <f t="shared" si="4"/>
        <v>646.625</v>
      </c>
      <c r="H114" s="629">
        <v>2373</v>
      </c>
      <c r="I114" s="172">
        <v>17</v>
      </c>
      <c r="J114" s="628">
        <v>0</v>
      </c>
      <c r="K114" s="628">
        <v>0</v>
      </c>
      <c r="L114" s="8"/>
      <c r="M114" s="1"/>
      <c r="N114" s="1"/>
      <c r="O114" s="1"/>
      <c r="P114" s="1"/>
      <c r="Q114" s="1"/>
    </row>
    <row r="115" spans="1:17">
      <c r="A115" s="5">
        <v>719</v>
      </c>
      <c r="B115" s="24" t="s">
        <v>284</v>
      </c>
      <c r="C115" s="628">
        <v>1782</v>
      </c>
      <c r="D115" s="663">
        <v>744</v>
      </c>
      <c r="E115" s="625">
        <v>64</v>
      </c>
      <c r="F115" s="625">
        <v>465.3</v>
      </c>
      <c r="G115" s="630">
        <f t="shared" si="4"/>
        <v>581.625</v>
      </c>
      <c r="H115" s="629">
        <v>2195</v>
      </c>
      <c r="I115" s="172">
        <v>0</v>
      </c>
      <c r="J115" s="628">
        <v>0</v>
      </c>
      <c r="K115" s="628">
        <v>0</v>
      </c>
      <c r="L115" s="9">
        <v>782</v>
      </c>
      <c r="M115" s="1"/>
      <c r="N115" s="1"/>
      <c r="O115" s="1"/>
      <c r="P115" s="1"/>
      <c r="Q115" s="1"/>
    </row>
    <row r="116" spans="1:17">
      <c r="A116" s="5">
        <v>720</v>
      </c>
      <c r="B116" s="24" t="s">
        <v>285</v>
      </c>
      <c r="C116" s="628">
        <v>1782</v>
      </c>
      <c r="D116" s="663"/>
      <c r="E116" s="625">
        <v>64</v>
      </c>
      <c r="F116" s="625">
        <v>465.3</v>
      </c>
      <c r="G116" s="630">
        <f t="shared" si="4"/>
        <v>581.625</v>
      </c>
      <c r="H116" s="629">
        <v>2195</v>
      </c>
      <c r="I116" s="172">
        <v>17</v>
      </c>
      <c r="J116" s="628">
        <v>0</v>
      </c>
      <c r="K116" s="628">
        <v>0</v>
      </c>
      <c r="L116" s="8"/>
      <c r="M116" s="1"/>
      <c r="N116" s="1"/>
      <c r="O116" s="1"/>
      <c r="P116" s="1"/>
      <c r="Q116" s="1"/>
    </row>
    <row r="117" spans="1:17">
      <c r="A117" s="5">
        <v>721</v>
      </c>
      <c r="B117" s="24" t="s">
        <v>286</v>
      </c>
      <c r="C117" s="628">
        <v>1942</v>
      </c>
      <c r="D117" s="663"/>
      <c r="E117" s="625">
        <v>43</v>
      </c>
      <c r="F117" s="625">
        <v>517.29999999999995</v>
      </c>
      <c r="G117" s="630">
        <f t="shared" si="4"/>
        <v>646.625</v>
      </c>
      <c r="H117" s="629">
        <v>2373</v>
      </c>
      <c r="I117" s="172">
        <v>150</v>
      </c>
      <c r="J117" s="628">
        <v>0</v>
      </c>
      <c r="K117" s="628">
        <v>0</v>
      </c>
      <c r="L117" s="8"/>
      <c r="M117" s="1"/>
      <c r="N117" s="1"/>
      <c r="O117" s="1"/>
      <c r="P117" s="1"/>
      <c r="Q117" s="1"/>
    </row>
    <row r="118" spans="1:17">
      <c r="A118" s="5">
        <v>722</v>
      </c>
      <c r="B118" s="24" t="s">
        <v>287</v>
      </c>
      <c r="C118" s="628">
        <v>1692</v>
      </c>
      <c r="D118" s="663">
        <v>744</v>
      </c>
      <c r="E118" s="625">
        <v>76</v>
      </c>
      <c r="F118" s="625">
        <v>362.7</v>
      </c>
      <c r="G118" s="630">
        <f t="shared" si="4"/>
        <v>453.375</v>
      </c>
      <c r="H118" s="629">
        <v>2040</v>
      </c>
      <c r="I118" s="172">
        <v>0</v>
      </c>
      <c r="J118" s="628">
        <v>0</v>
      </c>
      <c r="K118" s="628">
        <v>0</v>
      </c>
      <c r="L118" s="9">
        <v>744</v>
      </c>
      <c r="M118" s="1"/>
      <c r="N118" s="1"/>
      <c r="O118" s="1"/>
      <c r="P118" s="1"/>
      <c r="Q118" s="1"/>
    </row>
    <row r="119" spans="1:17">
      <c r="A119" s="5">
        <v>723</v>
      </c>
      <c r="B119" s="24" t="s">
        <v>288</v>
      </c>
      <c r="C119" s="628">
        <v>1700</v>
      </c>
      <c r="D119" s="663">
        <v>650</v>
      </c>
      <c r="E119" s="625">
        <v>75</v>
      </c>
      <c r="F119" s="625">
        <v>310.7</v>
      </c>
      <c r="G119" s="630">
        <f t="shared" si="4"/>
        <v>388.375</v>
      </c>
      <c r="H119" s="629">
        <v>2008</v>
      </c>
      <c r="I119" s="172">
        <v>0</v>
      </c>
      <c r="J119" s="628">
        <v>0</v>
      </c>
      <c r="K119" s="628">
        <v>0</v>
      </c>
      <c r="L119" s="9">
        <v>769</v>
      </c>
      <c r="M119" s="1"/>
      <c r="N119" s="1"/>
      <c r="O119" s="1"/>
      <c r="P119" s="1"/>
      <c r="Q119" s="1"/>
    </row>
    <row r="120" spans="1:17">
      <c r="A120" s="5">
        <v>724</v>
      </c>
      <c r="B120" s="24" t="s">
        <v>289</v>
      </c>
      <c r="C120" s="628">
        <v>1942</v>
      </c>
      <c r="D120" s="663"/>
      <c r="E120" s="625">
        <v>43</v>
      </c>
      <c r="F120" s="625">
        <v>621.29999999999995</v>
      </c>
      <c r="G120" s="630">
        <f t="shared" si="4"/>
        <v>776.625</v>
      </c>
      <c r="H120" s="629">
        <v>2451</v>
      </c>
      <c r="I120" s="172">
        <v>150</v>
      </c>
      <c r="J120" s="628">
        <v>0</v>
      </c>
      <c r="K120" s="628">
        <v>0</v>
      </c>
      <c r="L120" s="8"/>
      <c r="M120" s="1"/>
      <c r="N120" s="1"/>
      <c r="O120" s="1"/>
      <c r="P120" s="1"/>
      <c r="Q120" s="1"/>
    </row>
    <row r="121" spans="1:17">
      <c r="A121" s="5">
        <v>725</v>
      </c>
      <c r="B121" s="24" t="s">
        <v>290</v>
      </c>
      <c r="C121" s="628">
        <v>1592</v>
      </c>
      <c r="D121" s="663">
        <v>744</v>
      </c>
      <c r="E121" s="625">
        <v>89</v>
      </c>
      <c r="F121" s="625">
        <v>310.7</v>
      </c>
      <c r="G121" s="630">
        <f t="shared" si="4"/>
        <v>388.375</v>
      </c>
      <c r="H121" s="629">
        <v>1914</v>
      </c>
      <c r="I121" s="172">
        <v>0</v>
      </c>
      <c r="J121" s="628">
        <v>0</v>
      </c>
      <c r="K121" s="628">
        <v>0</v>
      </c>
      <c r="L121" s="9">
        <v>738</v>
      </c>
      <c r="M121" s="1"/>
      <c r="N121" s="1"/>
      <c r="O121" s="1"/>
      <c r="P121" s="1"/>
      <c r="Q121" s="1"/>
    </row>
    <row r="122" spans="1:17">
      <c r="A122" s="5">
        <v>726</v>
      </c>
      <c r="B122" s="24" t="s">
        <v>291</v>
      </c>
      <c r="C122" s="628">
        <v>1500</v>
      </c>
      <c r="D122" s="663"/>
      <c r="E122" s="625">
        <v>101</v>
      </c>
      <c r="F122" s="625">
        <v>0</v>
      </c>
      <c r="G122" s="626">
        <f>F122</f>
        <v>0</v>
      </c>
      <c r="H122" s="629">
        <v>1601</v>
      </c>
      <c r="I122" s="172">
        <v>150</v>
      </c>
      <c r="J122" s="628">
        <v>0</v>
      </c>
      <c r="K122" s="628">
        <v>0</v>
      </c>
      <c r="L122" s="8"/>
      <c r="M122" s="1"/>
      <c r="N122" s="1"/>
      <c r="O122" s="1"/>
      <c r="P122" s="1"/>
      <c r="Q122" s="1"/>
    </row>
    <row r="123" spans="1:17">
      <c r="A123" s="26">
        <v>727</v>
      </c>
      <c r="B123" s="31" t="s">
        <v>292</v>
      </c>
      <c r="C123" s="639">
        <v>1600</v>
      </c>
      <c r="D123" s="664">
        <v>650</v>
      </c>
      <c r="E123" s="625">
        <v>88</v>
      </c>
      <c r="F123" s="625">
        <v>310.7</v>
      </c>
      <c r="G123" s="630">
        <f t="shared" si="4"/>
        <v>388.375</v>
      </c>
      <c r="H123" s="629">
        <v>1921</v>
      </c>
      <c r="I123" s="631">
        <v>0</v>
      </c>
      <c r="J123" s="632">
        <v>0</v>
      </c>
      <c r="K123" s="632">
        <v>0</v>
      </c>
      <c r="L123" s="9">
        <v>738</v>
      </c>
      <c r="M123" s="1"/>
      <c r="N123" s="1"/>
      <c r="O123" s="1"/>
      <c r="P123" s="1"/>
      <c r="Q123" s="1"/>
    </row>
    <row r="124" spans="1:17">
      <c r="A124" s="5">
        <v>728</v>
      </c>
      <c r="B124" s="24" t="s">
        <v>293</v>
      </c>
      <c r="C124" s="628">
        <v>1360</v>
      </c>
      <c r="D124" s="663"/>
      <c r="E124" s="625">
        <v>120</v>
      </c>
      <c r="F124" s="625">
        <v>310.7</v>
      </c>
      <c r="G124" s="630">
        <f t="shared" si="4"/>
        <v>388.375</v>
      </c>
      <c r="H124" s="629">
        <v>1713</v>
      </c>
      <c r="I124" s="172">
        <v>17</v>
      </c>
      <c r="J124" s="628">
        <v>0</v>
      </c>
      <c r="K124" s="628">
        <v>0</v>
      </c>
      <c r="L124" s="8"/>
      <c r="M124" s="1"/>
      <c r="N124" s="1"/>
      <c r="O124" s="1"/>
      <c r="P124" s="1"/>
      <c r="Q124" s="1"/>
    </row>
    <row r="125" spans="1:17">
      <c r="A125" s="5">
        <v>729</v>
      </c>
      <c r="B125" s="24" t="s">
        <v>294</v>
      </c>
      <c r="C125" s="628">
        <v>1692</v>
      </c>
      <c r="D125" s="663"/>
      <c r="E125" s="625">
        <v>76</v>
      </c>
      <c r="F125" s="625">
        <v>517.29999999999995</v>
      </c>
      <c r="G125" s="630">
        <f t="shared" si="4"/>
        <v>646.625</v>
      </c>
      <c r="H125" s="629">
        <v>2156</v>
      </c>
      <c r="I125" s="172">
        <v>0</v>
      </c>
      <c r="J125" s="628">
        <v>0</v>
      </c>
      <c r="K125" s="628">
        <v>0</v>
      </c>
      <c r="L125" s="8"/>
      <c r="M125" s="1"/>
      <c r="N125" s="1"/>
      <c r="O125" s="1"/>
      <c r="P125" s="1"/>
      <c r="Q125" s="1"/>
    </row>
    <row r="126" spans="1:17">
      <c r="A126" s="5">
        <v>730</v>
      </c>
      <c r="B126" s="24" t="s">
        <v>295</v>
      </c>
      <c r="C126" s="628">
        <v>1700</v>
      </c>
      <c r="D126" s="663"/>
      <c r="E126" s="625">
        <v>75</v>
      </c>
      <c r="F126" s="625">
        <v>517.29999999999995</v>
      </c>
      <c r="G126" s="630">
        <f t="shared" si="4"/>
        <v>646.625</v>
      </c>
      <c r="H126" s="629">
        <v>2163</v>
      </c>
      <c r="I126" s="172">
        <v>0</v>
      </c>
      <c r="J126" s="628">
        <v>0</v>
      </c>
      <c r="K126" s="628">
        <v>0</v>
      </c>
      <c r="L126" s="8"/>
      <c r="M126" s="1"/>
      <c r="N126" s="1"/>
      <c r="O126" s="1"/>
      <c r="P126" s="1"/>
      <c r="Q126" s="1"/>
    </row>
    <row r="127" spans="1:17">
      <c r="A127" s="5">
        <v>731</v>
      </c>
      <c r="B127" s="24" t="s">
        <v>296</v>
      </c>
      <c r="C127" s="628">
        <v>1592</v>
      </c>
      <c r="D127" s="663"/>
      <c r="E127" s="625">
        <v>89</v>
      </c>
      <c r="F127" s="625">
        <v>465.3</v>
      </c>
      <c r="G127" s="630">
        <f t="shared" si="4"/>
        <v>581.625</v>
      </c>
      <c r="H127" s="629">
        <v>2030</v>
      </c>
      <c r="I127" s="172">
        <v>0</v>
      </c>
      <c r="J127" s="628">
        <v>0</v>
      </c>
      <c r="K127" s="628">
        <v>0</v>
      </c>
      <c r="L127" s="8"/>
      <c r="M127" s="1"/>
      <c r="N127" s="1"/>
      <c r="O127" s="1"/>
      <c r="P127" s="1"/>
      <c r="Q127" s="1"/>
    </row>
    <row r="128" spans="1:17">
      <c r="A128" s="5">
        <v>732</v>
      </c>
      <c r="B128" s="24" t="s">
        <v>297</v>
      </c>
      <c r="C128" s="628">
        <v>971</v>
      </c>
      <c r="D128" s="663"/>
      <c r="E128" s="625">
        <v>414.7</v>
      </c>
      <c r="F128" s="625">
        <v>0</v>
      </c>
      <c r="G128" s="626">
        <f t="shared" ref="G128:G131" si="5">F128</f>
        <v>0</v>
      </c>
      <c r="H128" s="629">
        <v>1298</v>
      </c>
      <c r="I128" s="172">
        <v>150</v>
      </c>
      <c r="J128" s="628">
        <v>0</v>
      </c>
      <c r="K128" s="628">
        <v>0</v>
      </c>
      <c r="L128" s="8"/>
      <c r="M128" s="1"/>
      <c r="N128" s="1"/>
      <c r="O128" s="1"/>
      <c r="P128" s="1"/>
      <c r="Q128" s="1"/>
    </row>
    <row r="129" spans="1:17">
      <c r="A129" s="5">
        <v>733</v>
      </c>
      <c r="B129" s="24" t="s">
        <v>298</v>
      </c>
      <c r="C129" s="628">
        <v>1150</v>
      </c>
      <c r="D129" s="663"/>
      <c r="E129" s="625">
        <v>147</v>
      </c>
      <c r="F129" s="625">
        <v>0</v>
      </c>
      <c r="G129" s="626">
        <f t="shared" si="5"/>
        <v>0</v>
      </c>
      <c r="H129" s="629">
        <v>1297</v>
      </c>
      <c r="I129" s="172">
        <v>0</v>
      </c>
      <c r="J129" s="628">
        <v>0</v>
      </c>
      <c r="K129" s="628">
        <v>0</v>
      </c>
      <c r="L129" s="8"/>
      <c r="M129" s="1"/>
      <c r="N129" s="1"/>
      <c r="O129" s="1"/>
      <c r="P129" s="1"/>
      <c r="Q129" s="1"/>
    </row>
    <row r="130" spans="1:17">
      <c r="A130" s="5">
        <v>734</v>
      </c>
      <c r="B130" s="24" t="s">
        <v>299</v>
      </c>
      <c r="C130" s="628">
        <v>1500</v>
      </c>
      <c r="D130" s="663"/>
      <c r="E130" s="625">
        <v>101</v>
      </c>
      <c r="F130" s="625">
        <v>0</v>
      </c>
      <c r="G130" s="626">
        <f t="shared" si="5"/>
        <v>0</v>
      </c>
      <c r="H130" s="629">
        <v>1601</v>
      </c>
      <c r="I130" s="172">
        <v>150</v>
      </c>
      <c r="J130" s="628">
        <v>0</v>
      </c>
      <c r="K130" s="628">
        <v>0</v>
      </c>
      <c r="L130" s="8"/>
      <c r="M130" s="1"/>
      <c r="N130" s="1"/>
      <c r="O130" s="1"/>
      <c r="P130" s="1"/>
      <c r="Q130" s="1"/>
    </row>
    <row r="131" spans="1:17">
      <c r="A131" s="5">
        <v>735</v>
      </c>
      <c r="B131" s="24" t="s">
        <v>300</v>
      </c>
      <c r="C131" s="628">
        <v>971</v>
      </c>
      <c r="D131" s="663"/>
      <c r="E131" s="625">
        <v>414.7</v>
      </c>
      <c r="F131" s="625">
        <v>0</v>
      </c>
      <c r="G131" s="626">
        <f t="shared" si="5"/>
        <v>0</v>
      </c>
      <c r="H131" s="629">
        <v>1298</v>
      </c>
      <c r="I131" s="172">
        <v>150</v>
      </c>
      <c r="J131" s="628">
        <v>0</v>
      </c>
      <c r="K131" s="628">
        <v>0</v>
      </c>
      <c r="L131" s="8"/>
      <c r="M131" s="1"/>
      <c r="N131" s="1"/>
      <c r="O131" s="1"/>
      <c r="P131" s="1"/>
      <c r="Q131" s="1"/>
    </row>
    <row r="132" spans="1:17">
      <c r="A132" s="5">
        <v>736</v>
      </c>
      <c r="B132" s="24" t="s">
        <v>301</v>
      </c>
      <c r="C132" s="628">
        <v>1600</v>
      </c>
      <c r="D132" s="663"/>
      <c r="E132" s="625">
        <v>88</v>
      </c>
      <c r="F132" s="625">
        <v>517.29999999999995</v>
      </c>
      <c r="G132" s="630">
        <f t="shared" si="4"/>
        <v>646.625</v>
      </c>
      <c r="H132" s="629">
        <v>2076</v>
      </c>
      <c r="I132" s="172">
        <v>0</v>
      </c>
      <c r="J132" s="628">
        <v>0</v>
      </c>
      <c r="K132" s="628">
        <v>0</v>
      </c>
      <c r="L132" s="8"/>
      <c r="M132" s="1"/>
      <c r="N132" s="1"/>
      <c r="O132" s="1"/>
      <c r="P132" s="1"/>
      <c r="Q132" s="1"/>
    </row>
    <row r="133" spans="1:17">
      <c r="A133" s="5">
        <v>737</v>
      </c>
      <c r="B133" s="24" t="s">
        <v>302</v>
      </c>
      <c r="C133" s="628">
        <v>971</v>
      </c>
      <c r="D133" s="663"/>
      <c r="E133" s="625">
        <v>414.7</v>
      </c>
      <c r="F133" s="625">
        <v>0</v>
      </c>
      <c r="G133" s="626">
        <f t="shared" ref="G133:G136" si="6">F133</f>
        <v>0</v>
      </c>
      <c r="H133" s="629">
        <v>1298</v>
      </c>
      <c r="I133" s="172">
        <v>150</v>
      </c>
      <c r="J133" s="628">
        <v>0</v>
      </c>
      <c r="K133" s="628">
        <v>0</v>
      </c>
      <c r="L133" s="8"/>
      <c r="M133" s="1"/>
      <c r="N133" s="1"/>
      <c r="O133" s="1"/>
      <c r="P133" s="1"/>
      <c r="Q133" s="1"/>
    </row>
    <row r="134" spans="1:17">
      <c r="A134" s="5">
        <v>738</v>
      </c>
      <c r="B134" s="24" t="s">
        <v>303</v>
      </c>
      <c r="C134" s="628">
        <v>971</v>
      </c>
      <c r="D134" s="663"/>
      <c r="E134" s="625">
        <v>414.7</v>
      </c>
      <c r="F134" s="625">
        <v>0</v>
      </c>
      <c r="G134" s="626">
        <f t="shared" si="6"/>
        <v>0</v>
      </c>
      <c r="H134" s="629">
        <v>1298</v>
      </c>
      <c r="I134" s="172">
        <v>17</v>
      </c>
      <c r="J134" s="628">
        <v>0</v>
      </c>
      <c r="K134" s="628">
        <v>0</v>
      </c>
      <c r="L134" s="8"/>
      <c r="M134" s="1"/>
      <c r="N134" s="1"/>
      <c r="O134" s="1"/>
      <c r="P134" s="1"/>
      <c r="Q134" s="1"/>
    </row>
    <row r="135" spans="1:17">
      <c r="A135" s="5">
        <v>739</v>
      </c>
      <c r="B135" s="24" t="s">
        <v>304</v>
      </c>
      <c r="C135" s="628">
        <v>971</v>
      </c>
      <c r="D135" s="663"/>
      <c r="E135" s="625">
        <v>414.7</v>
      </c>
      <c r="F135" s="625">
        <v>0</v>
      </c>
      <c r="G135" s="626">
        <f t="shared" si="6"/>
        <v>0</v>
      </c>
      <c r="H135" s="629">
        <v>1298</v>
      </c>
      <c r="I135" s="172">
        <v>150</v>
      </c>
      <c r="J135" s="628">
        <v>0</v>
      </c>
      <c r="K135" s="628">
        <v>0</v>
      </c>
      <c r="L135" s="8"/>
      <c r="M135" s="1"/>
      <c r="N135" s="1"/>
      <c r="O135" s="1"/>
      <c r="P135" s="1"/>
      <c r="Q135" s="1"/>
    </row>
    <row r="136" spans="1:17">
      <c r="A136" s="5">
        <v>740</v>
      </c>
      <c r="B136" s="24" t="s">
        <v>305</v>
      </c>
      <c r="C136" s="628">
        <v>971</v>
      </c>
      <c r="D136" s="663"/>
      <c r="E136" s="625">
        <v>414.7</v>
      </c>
      <c r="F136" s="625">
        <v>0</v>
      </c>
      <c r="G136" s="626">
        <f t="shared" si="6"/>
        <v>0</v>
      </c>
      <c r="H136" s="629">
        <v>1298</v>
      </c>
      <c r="I136" s="172">
        <v>150</v>
      </c>
      <c r="J136" s="628">
        <v>0</v>
      </c>
      <c r="K136" s="628">
        <v>0</v>
      </c>
      <c r="L136" s="8"/>
      <c r="M136" s="1"/>
      <c r="N136" s="1"/>
      <c r="O136" s="1"/>
      <c r="P136" s="1"/>
      <c r="Q136" s="1"/>
    </row>
    <row r="137" spans="1:17">
      <c r="A137" s="5">
        <v>741</v>
      </c>
      <c r="B137" s="24" t="s">
        <v>306</v>
      </c>
      <c r="C137" s="628">
        <v>1300</v>
      </c>
      <c r="D137" s="663"/>
      <c r="E137" s="625">
        <v>127</v>
      </c>
      <c r="F137" s="625">
        <v>310.7</v>
      </c>
      <c r="G137" s="630">
        <f t="shared" si="4"/>
        <v>388.375</v>
      </c>
      <c r="H137" s="629">
        <v>1660</v>
      </c>
      <c r="I137" s="172">
        <v>0</v>
      </c>
      <c r="J137" s="628">
        <v>0</v>
      </c>
      <c r="K137" s="628">
        <v>0</v>
      </c>
      <c r="L137" s="8"/>
      <c r="M137" s="1"/>
      <c r="N137" s="1"/>
      <c r="O137" s="1"/>
      <c r="P137" s="1"/>
      <c r="Q137" s="1"/>
    </row>
    <row r="138" spans="1:17">
      <c r="A138" s="5">
        <v>742</v>
      </c>
      <c r="B138" s="24" t="s">
        <v>307</v>
      </c>
      <c r="C138" s="628">
        <v>971</v>
      </c>
      <c r="D138" s="663"/>
      <c r="E138" s="625">
        <v>414.7</v>
      </c>
      <c r="F138" s="625">
        <v>0</v>
      </c>
      <c r="G138" s="626">
        <f t="shared" ref="G138:G139" si="7">F138</f>
        <v>0</v>
      </c>
      <c r="H138" s="629">
        <v>1298</v>
      </c>
      <c r="I138" s="172">
        <v>150</v>
      </c>
      <c r="J138" s="628">
        <v>0</v>
      </c>
      <c r="K138" s="628">
        <v>0</v>
      </c>
      <c r="L138" s="8"/>
      <c r="M138" s="1"/>
      <c r="N138" s="1"/>
      <c r="O138" s="1"/>
      <c r="P138" s="1"/>
      <c r="Q138" s="1"/>
    </row>
    <row r="139" spans="1:17">
      <c r="A139" s="32">
        <v>743</v>
      </c>
      <c r="B139" s="33" t="s">
        <v>308</v>
      </c>
      <c r="C139" s="634">
        <v>971</v>
      </c>
      <c r="D139" s="665"/>
      <c r="E139" s="625">
        <v>414.7</v>
      </c>
      <c r="F139" s="625">
        <v>0</v>
      </c>
      <c r="G139" s="626">
        <f t="shared" si="7"/>
        <v>0</v>
      </c>
      <c r="H139" s="629">
        <v>1298</v>
      </c>
      <c r="I139" s="633">
        <v>17</v>
      </c>
      <c r="J139" s="634">
        <v>0</v>
      </c>
      <c r="K139" s="634">
        <v>0</v>
      </c>
      <c r="L139" s="8"/>
      <c r="M139" s="1"/>
      <c r="N139" s="1"/>
      <c r="O139" s="1"/>
      <c r="P139" s="1"/>
      <c r="Q139" s="1"/>
    </row>
    <row r="140" spans="1:17">
      <c r="A140" s="5">
        <v>744</v>
      </c>
      <c r="B140" s="24" t="s">
        <v>309</v>
      </c>
      <c r="C140" s="628">
        <v>1400</v>
      </c>
      <c r="D140" s="663"/>
      <c r="E140" s="625">
        <v>114</v>
      </c>
      <c r="F140" s="625">
        <v>310.7</v>
      </c>
      <c r="G140" s="630">
        <f t="shared" si="4"/>
        <v>388.375</v>
      </c>
      <c r="H140" s="629">
        <v>1747</v>
      </c>
      <c r="I140" s="172">
        <v>0</v>
      </c>
      <c r="J140" s="628">
        <v>0</v>
      </c>
      <c r="K140" s="628">
        <v>0</v>
      </c>
      <c r="L140" s="8"/>
      <c r="M140" s="1"/>
      <c r="N140" s="1"/>
      <c r="O140" s="1"/>
      <c r="P140" s="1"/>
      <c r="Q140" s="1"/>
    </row>
    <row r="141" spans="1:17">
      <c r="A141" s="5">
        <v>745</v>
      </c>
      <c r="B141" s="24" t="s">
        <v>310</v>
      </c>
      <c r="C141" s="628">
        <v>1450</v>
      </c>
      <c r="D141" s="663"/>
      <c r="E141" s="625">
        <v>107</v>
      </c>
      <c r="F141" s="625">
        <v>0</v>
      </c>
      <c r="G141" s="626">
        <f t="shared" ref="G141:G143" si="8">F141</f>
        <v>0</v>
      </c>
      <c r="H141" s="629">
        <v>1557</v>
      </c>
      <c r="I141" s="172">
        <v>0</v>
      </c>
      <c r="J141" s="628">
        <v>0</v>
      </c>
      <c r="K141" s="628">
        <v>0</v>
      </c>
      <c r="L141" s="8"/>
      <c r="M141" s="1"/>
      <c r="N141" s="1"/>
      <c r="O141" s="1"/>
      <c r="P141" s="1"/>
      <c r="Q141" s="1"/>
    </row>
    <row r="142" spans="1:17">
      <c r="A142" s="5">
        <v>746</v>
      </c>
      <c r="B142" s="24" t="s">
        <v>311</v>
      </c>
      <c r="C142" s="628">
        <v>971</v>
      </c>
      <c r="D142" s="663"/>
      <c r="E142" s="625">
        <v>414.7</v>
      </c>
      <c r="F142" s="625">
        <v>0</v>
      </c>
      <c r="G142" s="626">
        <f t="shared" si="8"/>
        <v>0</v>
      </c>
      <c r="H142" s="629">
        <v>1298</v>
      </c>
      <c r="I142" s="172">
        <v>150</v>
      </c>
      <c r="J142" s="628">
        <v>0</v>
      </c>
      <c r="K142" s="628">
        <v>0</v>
      </c>
      <c r="L142" s="8"/>
      <c r="M142" s="1"/>
      <c r="N142" s="1"/>
      <c r="O142" s="1"/>
      <c r="P142" s="1"/>
      <c r="Q142" s="1"/>
    </row>
    <row r="143" spans="1:17">
      <c r="A143" s="5">
        <v>747</v>
      </c>
      <c r="B143" s="24" t="s">
        <v>312</v>
      </c>
      <c r="C143" s="628">
        <v>971</v>
      </c>
      <c r="D143" s="663"/>
      <c r="E143" s="625">
        <v>414.7</v>
      </c>
      <c r="F143" s="625">
        <v>0</v>
      </c>
      <c r="G143" s="626">
        <f t="shared" si="8"/>
        <v>0</v>
      </c>
      <c r="H143" s="629">
        <v>1298</v>
      </c>
      <c r="I143" s="172">
        <v>0</v>
      </c>
      <c r="J143" s="628">
        <v>0</v>
      </c>
      <c r="K143" s="628">
        <v>0</v>
      </c>
      <c r="L143" s="8"/>
      <c r="M143" s="1"/>
      <c r="N143" s="1"/>
      <c r="O143" s="1"/>
      <c r="P143" s="1"/>
      <c r="Q143" s="1"/>
    </row>
    <row r="144" spans="1:17">
      <c r="A144" s="5">
        <v>748</v>
      </c>
      <c r="B144" s="24" t="s">
        <v>313</v>
      </c>
      <c r="C144" s="628">
        <v>1250</v>
      </c>
      <c r="D144" s="663"/>
      <c r="E144" s="625">
        <v>134</v>
      </c>
      <c r="F144" s="625">
        <v>310.7</v>
      </c>
      <c r="G144" s="630">
        <f t="shared" si="4"/>
        <v>388.375</v>
      </c>
      <c r="H144" s="629">
        <v>1617</v>
      </c>
      <c r="I144" s="172">
        <v>0</v>
      </c>
      <c r="J144" s="628">
        <v>0</v>
      </c>
      <c r="K144" s="628">
        <v>0</v>
      </c>
      <c r="L144" s="8"/>
      <c r="M144" s="1"/>
      <c r="N144" s="1"/>
      <c r="O144" s="1"/>
      <c r="P144" s="1"/>
      <c r="Q144" s="1"/>
    </row>
    <row r="145" spans="1:17">
      <c r="A145" s="26">
        <v>749</v>
      </c>
      <c r="B145" s="27" t="s">
        <v>205</v>
      </c>
      <c r="C145" s="632">
        <v>971</v>
      </c>
      <c r="D145" s="663">
        <v>510</v>
      </c>
      <c r="E145" s="625">
        <v>414.7</v>
      </c>
      <c r="F145" s="625">
        <v>0</v>
      </c>
      <c r="G145" s="626">
        <f t="shared" ref="G145:G146" si="9">F145</f>
        <v>0</v>
      </c>
      <c r="H145" s="629">
        <v>1298</v>
      </c>
      <c r="I145" s="631">
        <v>0</v>
      </c>
      <c r="J145" s="632">
        <v>0</v>
      </c>
      <c r="K145" s="632">
        <v>0</v>
      </c>
      <c r="L145" s="29"/>
      <c r="M145" s="30"/>
      <c r="N145" s="30"/>
      <c r="O145" s="30"/>
      <c r="P145" s="30"/>
      <c r="Q145" s="30"/>
    </row>
    <row r="146" spans="1:17">
      <c r="A146" s="5">
        <v>750</v>
      </c>
      <c r="B146" s="24" t="s">
        <v>204</v>
      </c>
      <c r="C146" s="628">
        <v>971</v>
      </c>
      <c r="D146" s="663"/>
      <c r="E146" s="625">
        <v>414.7</v>
      </c>
      <c r="F146" s="625">
        <v>0</v>
      </c>
      <c r="G146" s="626">
        <f t="shared" si="9"/>
        <v>0</v>
      </c>
      <c r="H146" s="629">
        <v>1298</v>
      </c>
      <c r="I146" s="172">
        <v>0</v>
      </c>
      <c r="J146" s="628">
        <v>0</v>
      </c>
      <c r="K146" s="628">
        <v>0</v>
      </c>
      <c r="L146" s="8"/>
      <c r="M146" s="1"/>
      <c r="N146" s="1"/>
      <c r="O146" s="1"/>
      <c r="P146" s="1"/>
      <c r="Q146" s="1"/>
    </row>
    <row r="147" spans="1:17">
      <c r="A147" s="5">
        <v>751</v>
      </c>
      <c r="B147" s="34" t="s">
        <v>314</v>
      </c>
      <c r="C147" s="628">
        <v>1500</v>
      </c>
      <c r="D147" s="663"/>
      <c r="E147" s="625">
        <v>101</v>
      </c>
      <c r="F147" s="625">
        <v>310.7</v>
      </c>
      <c r="G147" s="630">
        <f t="shared" si="4"/>
        <v>388.375</v>
      </c>
      <c r="H147" s="629">
        <v>1834</v>
      </c>
      <c r="I147" s="172">
        <v>150</v>
      </c>
      <c r="J147" s="628">
        <v>0</v>
      </c>
      <c r="K147" s="628">
        <v>0</v>
      </c>
      <c r="L147" s="8"/>
      <c r="M147" s="1"/>
      <c r="N147" s="1"/>
      <c r="O147" s="1"/>
      <c r="P147" s="1"/>
      <c r="Q147" s="1"/>
    </row>
    <row r="148" spans="1:17">
      <c r="A148" s="5">
        <v>752</v>
      </c>
      <c r="B148" s="24" t="s">
        <v>315</v>
      </c>
      <c r="C148" s="628">
        <v>2913</v>
      </c>
      <c r="D148" s="663"/>
      <c r="E148" s="625">
        <v>0</v>
      </c>
      <c r="F148" s="625">
        <v>0</v>
      </c>
      <c r="G148" s="626">
        <f>F148</f>
        <v>0</v>
      </c>
      <c r="H148" s="629">
        <v>2913</v>
      </c>
      <c r="I148" s="172">
        <v>20</v>
      </c>
      <c r="J148" s="628">
        <v>0</v>
      </c>
      <c r="K148" s="628">
        <v>0</v>
      </c>
      <c r="L148" s="8"/>
      <c r="M148" s="1"/>
      <c r="N148" s="1"/>
      <c r="O148" s="1"/>
      <c r="P148" s="1"/>
      <c r="Q148" s="1"/>
    </row>
    <row r="149" spans="1:17">
      <c r="A149" s="5">
        <v>753</v>
      </c>
      <c r="B149" s="24" t="s">
        <v>316</v>
      </c>
      <c r="C149" s="628">
        <v>1942</v>
      </c>
      <c r="D149" s="663"/>
      <c r="E149" s="625">
        <v>43</v>
      </c>
      <c r="F149" s="625">
        <v>621.29999999999995</v>
      </c>
      <c r="G149" s="630">
        <f t="shared" si="4"/>
        <v>776.625</v>
      </c>
      <c r="H149" s="629">
        <v>2451</v>
      </c>
      <c r="I149" s="172">
        <v>150</v>
      </c>
      <c r="J149" s="628">
        <v>0</v>
      </c>
      <c r="K149" s="628">
        <v>0</v>
      </c>
      <c r="L149" s="8"/>
      <c r="M149" s="1"/>
      <c r="N149" s="1"/>
      <c r="O149" s="1"/>
      <c r="P149" s="1"/>
      <c r="Q149" s="1"/>
    </row>
    <row r="150" spans="1:17">
      <c r="A150" s="5">
        <v>754</v>
      </c>
      <c r="B150" s="24" t="s">
        <v>317</v>
      </c>
      <c r="C150" s="628">
        <v>971</v>
      </c>
      <c r="D150" s="663"/>
      <c r="E150" s="625">
        <v>414.7</v>
      </c>
      <c r="F150" s="625">
        <v>0</v>
      </c>
      <c r="G150" s="626">
        <f t="shared" ref="G150:G151" si="10">F150</f>
        <v>0</v>
      </c>
      <c r="H150" s="629">
        <v>1298</v>
      </c>
      <c r="I150" s="172">
        <v>0</v>
      </c>
      <c r="J150" s="628">
        <v>0</v>
      </c>
      <c r="K150" s="628">
        <v>0</v>
      </c>
      <c r="L150" s="8"/>
      <c r="M150" s="1"/>
      <c r="N150" s="1"/>
      <c r="O150" s="1"/>
      <c r="P150" s="1"/>
      <c r="Q150" s="1"/>
    </row>
    <row r="151" spans="1:17">
      <c r="A151" s="5">
        <v>755</v>
      </c>
      <c r="B151" s="24" t="s">
        <v>318</v>
      </c>
      <c r="C151" s="628">
        <v>971</v>
      </c>
      <c r="D151" s="663"/>
      <c r="E151" s="625">
        <v>414.7</v>
      </c>
      <c r="F151" s="625">
        <v>0</v>
      </c>
      <c r="G151" s="626">
        <f t="shared" si="10"/>
        <v>0</v>
      </c>
      <c r="H151" s="629">
        <v>1298</v>
      </c>
      <c r="I151" s="172">
        <v>0</v>
      </c>
      <c r="J151" s="628">
        <v>0</v>
      </c>
      <c r="K151" s="628">
        <v>0</v>
      </c>
      <c r="L151" s="8"/>
      <c r="M151" s="1"/>
      <c r="N151" s="1"/>
      <c r="O151" s="1"/>
      <c r="P151" s="1"/>
      <c r="Q151" s="1"/>
    </row>
    <row r="152" spans="1:17">
      <c r="A152" s="5">
        <v>756</v>
      </c>
      <c r="B152" s="24" t="s">
        <v>319</v>
      </c>
      <c r="C152" s="628">
        <v>1290</v>
      </c>
      <c r="D152" s="663"/>
      <c r="E152" s="625">
        <v>128</v>
      </c>
      <c r="F152" s="625">
        <v>309.3</v>
      </c>
      <c r="G152" s="630">
        <f t="shared" si="4"/>
        <v>386.625</v>
      </c>
      <c r="H152" s="629">
        <v>1650</v>
      </c>
      <c r="I152" s="172">
        <v>0</v>
      </c>
      <c r="J152" s="628">
        <v>0</v>
      </c>
      <c r="K152" s="628">
        <v>0</v>
      </c>
      <c r="L152" s="8"/>
      <c r="M152" s="1"/>
      <c r="N152" s="1"/>
      <c r="O152" s="1"/>
      <c r="P152" s="1"/>
      <c r="Q152" s="1"/>
    </row>
    <row r="153" spans="1:17">
      <c r="A153" s="5">
        <v>757</v>
      </c>
      <c r="B153" s="24" t="s">
        <v>320</v>
      </c>
      <c r="C153" s="628">
        <v>971</v>
      </c>
      <c r="D153" s="663"/>
      <c r="E153" s="625">
        <v>414.7</v>
      </c>
      <c r="F153" s="625">
        <v>0</v>
      </c>
      <c r="G153" s="626">
        <f t="shared" ref="G153:G156" si="11">F153</f>
        <v>0</v>
      </c>
      <c r="H153" s="629">
        <v>1298</v>
      </c>
      <c r="I153" s="172">
        <v>0</v>
      </c>
      <c r="J153" s="628">
        <v>0</v>
      </c>
      <c r="K153" s="628">
        <v>0</v>
      </c>
      <c r="L153" s="8"/>
      <c r="M153" s="1"/>
      <c r="N153" s="1"/>
      <c r="O153" s="1"/>
      <c r="P153" s="1"/>
      <c r="Q153" s="1"/>
    </row>
    <row r="154" spans="1:17">
      <c r="A154" s="5">
        <v>758</v>
      </c>
      <c r="B154" s="24" t="s">
        <v>321</v>
      </c>
      <c r="C154" s="628">
        <v>971</v>
      </c>
      <c r="D154" s="663"/>
      <c r="E154" s="625">
        <v>414.7</v>
      </c>
      <c r="F154" s="625">
        <v>0</v>
      </c>
      <c r="G154" s="626">
        <f t="shared" si="11"/>
        <v>0</v>
      </c>
      <c r="H154" s="629">
        <v>1298</v>
      </c>
      <c r="I154" s="172">
        <v>0</v>
      </c>
      <c r="J154" s="628">
        <v>0</v>
      </c>
      <c r="K154" s="628">
        <v>0</v>
      </c>
      <c r="L154" s="8"/>
      <c r="M154" s="1"/>
      <c r="N154" s="1"/>
      <c r="O154" s="1"/>
      <c r="P154" s="1"/>
      <c r="Q154" s="1"/>
    </row>
    <row r="155" spans="1:17">
      <c r="A155" s="5">
        <v>759</v>
      </c>
      <c r="B155" s="24" t="s">
        <v>322</v>
      </c>
      <c r="C155" s="628">
        <v>971</v>
      </c>
      <c r="D155" s="663"/>
      <c r="E155" s="625">
        <v>414.7</v>
      </c>
      <c r="F155" s="625">
        <v>0</v>
      </c>
      <c r="G155" s="626">
        <f t="shared" si="11"/>
        <v>0</v>
      </c>
      <c r="H155" s="629">
        <v>1298</v>
      </c>
      <c r="I155" s="172">
        <v>150</v>
      </c>
      <c r="J155" s="628">
        <v>0</v>
      </c>
      <c r="K155" s="628">
        <v>0</v>
      </c>
      <c r="L155" s="8"/>
      <c r="M155" s="1"/>
      <c r="N155" s="1"/>
      <c r="O155" s="1"/>
      <c r="P155" s="1"/>
      <c r="Q155" s="1"/>
    </row>
    <row r="156" spans="1:17">
      <c r="A156" s="5">
        <v>760</v>
      </c>
      <c r="B156" s="24" t="s">
        <v>323</v>
      </c>
      <c r="C156" s="628">
        <v>1400</v>
      </c>
      <c r="D156" s="663"/>
      <c r="E156" s="625">
        <v>114</v>
      </c>
      <c r="F156" s="625">
        <v>0</v>
      </c>
      <c r="G156" s="626">
        <f t="shared" si="11"/>
        <v>0</v>
      </c>
      <c r="H156" s="629">
        <v>1514</v>
      </c>
      <c r="I156" s="172">
        <v>0</v>
      </c>
      <c r="J156" s="628">
        <v>0</v>
      </c>
      <c r="K156" s="628">
        <v>0</v>
      </c>
      <c r="L156" s="8"/>
      <c r="M156" s="1"/>
      <c r="N156" s="1"/>
      <c r="O156" s="1"/>
      <c r="P156" s="1"/>
      <c r="Q156" s="1"/>
    </row>
    <row r="157" spans="1:17">
      <c r="A157" s="5">
        <v>761</v>
      </c>
      <c r="B157" s="24" t="s">
        <v>324</v>
      </c>
      <c r="C157" s="628">
        <v>1700</v>
      </c>
      <c r="D157" s="663"/>
      <c r="E157" s="625">
        <v>75</v>
      </c>
      <c r="F157" s="625">
        <v>362.7</v>
      </c>
      <c r="G157" s="630">
        <f t="shared" si="4"/>
        <v>453.375</v>
      </c>
      <c r="H157" s="629">
        <v>2047</v>
      </c>
      <c r="I157" s="172">
        <v>150</v>
      </c>
      <c r="J157" s="628">
        <v>0</v>
      </c>
      <c r="K157" s="628">
        <v>0</v>
      </c>
      <c r="L157" s="8"/>
      <c r="M157" s="1"/>
      <c r="N157" s="1"/>
      <c r="O157" s="1"/>
      <c r="P157" s="1"/>
      <c r="Q157" s="1"/>
    </row>
    <row r="158" spans="1:17">
      <c r="A158" s="5">
        <v>762</v>
      </c>
      <c r="B158" s="24" t="s">
        <v>325</v>
      </c>
      <c r="C158" s="628">
        <v>971</v>
      </c>
      <c r="D158" s="663"/>
      <c r="E158" s="625">
        <v>414.7</v>
      </c>
      <c r="F158" s="625">
        <v>0</v>
      </c>
      <c r="G158" s="626">
        <f t="shared" ref="G158:G161" si="12">F158</f>
        <v>0</v>
      </c>
      <c r="H158" s="629">
        <v>1298</v>
      </c>
      <c r="I158" s="172">
        <v>0</v>
      </c>
      <c r="J158" s="628">
        <v>0</v>
      </c>
      <c r="K158" s="628">
        <v>0</v>
      </c>
      <c r="L158" s="8"/>
      <c r="M158" s="1"/>
      <c r="N158" s="1"/>
      <c r="O158" s="1"/>
      <c r="P158" s="1"/>
      <c r="Q158" s="1"/>
    </row>
    <row r="159" spans="1:17">
      <c r="A159" s="5">
        <v>763</v>
      </c>
      <c r="B159" s="24" t="s">
        <v>326</v>
      </c>
      <c r="C159" s="628">
        <v>971</v>
      </c>
      <c r="D159" s="663"/>
      <c r="E159" s="625">
        <v>414.7</v>
      </c>
      <c r="F159" s="625">
        <v>0</v>
      </c>
      <c r="G159" s="626">
        <f t="shared" si="12"/>
        <v>0</v>
      </c>
      <c r="H159" s="629">
        <v>1298</v>
      </c>
      <c r="I159" s="172">
        <v>0</v>
      </c>
      <c r="J159" s="628">
        <v>0</v>
      </c>
      <c r="K159" s="628">
        <v>0</v>
      </c>
      <c r="L159" s="8"/>
      <c r="M159" s="1"/>
      <c r="N159" s="1"/>
      <c r="O159" s="1"/>
      <c r="P159" s="1"/>
      <c r="Q159" s="1"/>
    </row>
    <row r="160" spans="1:17">
      <c r="A160" s="5">
        <v>764</v>
      </c>
      <c r="B160" s="24" t="s">
        <v>327</v>
      </c>
      <c r="C160" s="628">
        <v>1500</v>
      </c>
      <c r="D160" s="663"/>
      <c r="E160" s="625">
        <v>101</v>
      </c>
      <c r="F160" s="625">
        <v>0</v>
      </c>
      <c r="G160" s="626">
        <f t="shared" si="12"/>
        <v>0</v>
      </c>
      <c r="H160" s="629">
        <v>1601</v>
      </c>
      <c r="I160" s="172">
        <v>150</v>
      </c>
      <c r="J160" s="628">
        <v>0</v>
      </c>
      <c r="K160" s="628">
        <v>0</v>
      </c>
      <c r="L160" s="8"/>
      <c r="M160" s="1"/>
      <c r="N160" s="1"/>
      <c r="O160" s="1"/>
      <c r="P160" s="1"/>
      <c r="Q160" s="1"/>
    </row>
    <row r="161" spans="1:17">
      <c r="A161" s="5">
        <v>765</v>
      </c>
      <c r="B161" s="24" t="s">
        <v>328</v>
      </c>
      <c r="C161" s="628">
        <v>1500</v>
      </c>
      <c r="D161" s="663"/>
      <c r="E161" s="625">
        <v>101</v>
      </c>
      <c r="F161" s="625">
        <v>0</v>
      </c>
      <c r="G161" s="626">
        <f t="shared" si="12"/>
        <v>0</v>
      </c>
      <c r="H161" s="629">
        <v>1601</v>
      </c>
      <c r="I161" s="172">
        <v>150</v>
      </c>
      <c r="J161" s="628">
        <v>0</v>
      </c>
      <c r="K161" s="628">
        <v>0</v>
      </c>
      <c r="L161" s="8"/>
      <c r="M161" s="1"/>
      <c r="N161" s="1"/>
      <c r="O161" s="1"/>
      <c r="P161" s="1"/>
      <c r="Q161" s="1"/>
    </row>
    <row r="162" spans="1:17">
      <c r="A162" s="5">
        <v>766</v>
      </c>
      <c r="B162" s="24" t="s">
        <v>329</v>
      </c>
      <c r="C162" s="628">
        <v>1942</v>
      </c>
      <c r="D162" s="663"/>
      <c r="E162" s="625">
        <v>43</v>
      </c>
      <c r="F162" s="625">
        <v>621.29999999999995</v>
      </c>
      <c r="G162" s="630">
        <f t="shared" si="4"/>
        <v>776.625</v>
      </c>
      <c r="H162" s="629">
        <v>2451</v>
      </c>
      <c r="I162" s="172">
        <v>150</v>
      </c>
      <c r="J162" s="628">
        <v>0</v>
      </c>
      <c r="K162" s="628">
        <v>0</v>
      </c>
      <c r="L162" s="8"/>
      <c r="M162" s="1"/>
      <c r="N162" s="1"/>
      <c r="O162" s="1"/>
      <c r="P162" s="1"/>
      <c r="Q162" s="1"/>
    </row>
    <row r="163" spans="1:17">
      <c r="A163" s="5">
        <v>767</v>
      </c>
      <c r="B163" s="24" t="s">
        <v>330</v>
      </c>
      <c r="C163" s="628">
        <v>1700</v>
      </c>
      <c r="D163" s="663"/>
      <c r="E163" s="625">
        <v>75</v>
      </c>
      <c r="F163" s="625">
        <v>309.3</v>
      </c>
      <c r="G163" s="630">
        <f t="shared" si="4"/>
        <v>386.625</v>
      </c>
      <c r="H163" s="629">
        <v>2007</v>
      </c>
      <c r="I163" s="172">
        <v>150</v>
      </c>
      <c r="J163" s="628">
        <v>0</v>
      </c>
      <c r="K163" s="628">
        <v>0</v>
      </c>
      <c r="L163" s="8"/>
      <c r="M163" s="1"/>
      <c r="N163" s="1"/>
      <c r="O163" s="1"/>
      <c r="P163" s="1"/>
      <c r="Q163" s="1"/>
    </row>
    <row r="164" spans="1:17">
      <c r="A164" s="5">
        <v>768</v>
      </c>
      <c r="B164" s="24" t="s">
        <v>331</v>
      </c>
      <c r="C164" s="628">
        <v>971</v>
      </c>
      <c r="D164" s="663"/>
      <c r="E164" s="625">
        <v>414.7</v>
      </c>
      <c r="F164" s="625">
        <v>0</v>
      </c>
      <c r="G164" s="626">
        <f t="shared" ref="G164:G165" si="13">F164</f>
        <v>0</v>
      </c>
      <c r="H164" s="629">
        <v>1298</v>
      </c>
      <c r="I164" s="172">
        <v>150</v>
      </c>
      <c r="J164" s="628">
        <v>0</v>
      </c>
      <c r="K164" s="628">
        <v>0</v>
      </c>
      <c r="L164" s="8"/>
      <c r="M164" s="1"/>
      <c r="N164" s="1"/>
      <c r="O164" s="1"/>
      <c r="P164" s="1"/>
      <c r="Q164" s="1"/>
    </row>
    <row r="165" spans="1:17">
      <c r="A165" s="5">
        <v>769</v>
      </c>
      <c r="B165" s="24" t="s">
        <v>332</v>
      </c>
      <c r="C165" s="628">
        <v>2913</v>
      </c>
      <c r="D165" s="663"/>
      <c r="E165" s="625">
        <v>0</v>
      </c>
      <c r="F165" s="625">
        <v>0</v>
      </c>
      <c r="G165" s="626">
        <f t="shared" si="13"/>
        <v>0</v>
      </c>
      <c r="H165" s="629">
        <v>2913</v>
      </c>
      <c r="I165" s="172">
        <v>0</v>
      </c>
      <c r="J165" s="628">
        <v>0</v>
      </c>
      <c r="K165" s="628">
        <v>0</v>
      </c>
      <c r="L165" s="8"/>
      <c r="M165" s="1"/>
      <c r="N165" s="1"/>
      <c r="O165" s="1"/>
      <c r="P165" s="1"/>
      <c r="Q165" s="1"/>
    </row>
    <row r="166" spans="1:17">
      <c r="A166" s="5">
        <v>770</v>
      </c>
      <c r="B166" s="24" t="s">
        <v>333</v>
      </c>
      <c r="C166" s="628">
        <v>2913</v>
      </c>
      <c r="D166" s="663"/>
      <c r="E166" s="625">
        <v>0</v>
      </c>
      <c r="F166" s="625">
        <v>1034.7</v>
      </c>
      <c r="G166" s="630">
        <f t="shared" si="4"/>
        <v>1293.375</v>
      </c>
      <c r="H166" s="629">
        <v>3689</v>
      </c>
      <c r="I166" s="172">
        <v>0</v>
      </c>
      <c r="J166" s="628">
        <v>0</v>
      </c>
      <c r="K166" s="628">
        <v>0</v>
      </c>
      <c r="L166" s="8"/>
      <c r="M166" s="1"/>
      <c r="N166" s="1"/>
      <c r="O166" s="1"/>
      <c r="P166" s="1"/>
      <c r="Q166" s="1"/>
    </row>
    <row r="167" spans="1:17">
      <c r="A167" s="5">
        <v>771</v>
      </c>
      <c r="B167" s="24" t="s">
        <v>334</v>
      </c>
      <c r="C167" s="628">
        <v>971</v>
      </c>
      <c r="D167" s="663"/>
      <c r="E167" s="625">
        <v>414.7</v>
      </c>
      <c r="F167" s="625">
        <v>0</v>
      </c>
      <c r="G167" s="626">
        <f t="shared" ref="G167:G168" si="14">F167</f>
        <v>0</v>
      </c>
      <c r="H167" s="629">
        <v>1298</v>
      </c>
      <c r="I167" s="172">
        <v>0</v>
      </c>
      <c r="J167" s="628">
        <v>0</v>
      </c>
      <c r="K167" s="628">
        <v>620</v>
      </c>
      <c r="L167" s="8"/>
      <c r="M167" s="1"/>
      <c r="N167" s="1"/>
      <c r="O167" s="1"/>
      <c r="P167" s="1"/>
      <c r="Q167" s="1"/>
    </row>
    <row r="168" spans="1:17">
      <c r="A168" s="5">
        <v>772</v>
      </c>
      <c r="B168" s="24" t="s">
        <v>335</v>
      </c>
      <c r="C168" s="628">
        <v>971</v>
      </c>
      <c r="D168" s="663"/>
      <c r="E168" s="625">
        <v>414.7</v>
      </c>
      <c r="F168" s="625">
        <v>0</v>
      </c>
      <c r="G168" s="626">
        <f t="shared" si="14"/>
        <v>0</v>
      </c>
      <c r="H168" s="629">
        <v>1298</v>
      </c>
      <c r="I168" s="172">
        <v>0</v>
      </c>
      <c r="J168" s="628">
        <v>0</v>
      </c>
      <c r="K168" s="628">
        <v>620</v>
      </c>
      <c r="L168" s="8"/>
      <c r="M168" s="1"/>
      <c r="N168" s="1"/>
      <c r="O168" s="1"/>
      <c r="P168" s="1"/>
      <c r="Q168" s="1"/>
    </row>
    <row r="169" spans="1:17">
      <c r="A169" s="5">
        <v>773</v>
      </c>
      <c r="B169" s="24" t="s">
        <v>336</v>
      </c>
      <c r="C169" s="628">
        <v>1942</v>
      </c>
      <c r="D169" s="663"/>
      <c r="E169" s="625">
        <v>43</v>
      </c>
      <c r="F169" s="625">
        <v>621.29999999999995</v>
      </c>
      <c r="G169" s="630">
        <f t="shared" si="4"/>
        <v>776.625</v>
      </c>
      <c r="H169" s="629">
        <v>2451</v>
      </c>
      <c r="I169" s="172">
        <v>0</v>
      </c>
      <c r="J169" s="628">
        <v>0</v>
      </c>
      <c r="K169" s="628">
        <v>669</v>
      </c>
      <c r="L169" s="8"/>
      <c r="M169" s="1"/>
      <c r="N169" s="1"/>
      <c r="O169" s="1"/>
      <c r="P169" s="1"/>
      <c r="Q169" s="1"/>
    </row>
    <row r="170" spans="1:17">
      <c r="A170" s="5">
        <v>774</v>
      </c>
      <c r="B170" s="24" t="s">
        <v>337</v>
      </c>
      <c r="C170" s="628">
        <v>1700</v>
      </c>
      <c r="D170" s="663"/>
      <c r="E170" s="625">
        <v>75</v>
      </c>
      <c r="F170" s="625">
        <v>413.3</v>
      </c>
      <c r="G170" s="630">
        <f t="shared" si="4"/>
        <v>516.625</v>
      </c>
      <c r="H170" s="629">
        <v>2085</v>
      </c>
      <c r="I170" s="172">
        <v>0</v>
      </c>
      <c r="J170" s="628">
        <v>0</v>
      </c>
      <c r="K170" s="628">
        <v>657</v>
      </c>
      <c r="L170" s="8"/>
      <c r="M170" s="1"/>
      <c r="N170" s="1"/>
      <c r="O170" s="1"/>
      <c r="P170" s="1"/>
      <c r="Q170" s="1"/>
    </row>
    <row r="171" spans="1:17">
      <c r="A171" s="5">
        <v>775</v>
      </c>
      <c r="B171" s="24" t="s">
        <v>338</v>
      </c>
      <c r="C171" s="628">
        <v>1400</v>
      </c>
      <c r="D171" s="663"/>
      <c r="E171" s="625">
        <v>114</v>
      </c>
      <c r="F171" s="625">
        <v>310.7</v>
      </c>
      <c r="G171" s="630">
        <f t="shared" si="4"/>
        <v>388.375</v>
      </c>
      <c r="H171" s="629">
        <v>1747</v>
      </c>
      <c r="I171" s="172">
        <v>150</v>
      </c>
      <c r="J171" s="628">
        <v>0</v>
      </c>
      <c r="K171" s="628">
        <v>0</v>
      </c>
      <c r="L171" s="8"/>
      <c r="M171" s="1"/>
      <c r="N171" s="1"/>
      <c r="O171" s="1"/>
      <c r="P171" s="1"/>
      <c r="Q171" s="1"/>
    </row>
    <row r="172" spans="1:17">
      <c r="A172" s="5">
        <v>776</v>
      </c>
      <c r="B172" s="24" t="s">
        <v>339</v>
      </c>
      <c r="C172" s="628">
        <v>971</v>
      </c>
      <c r="D172" s="663"/>
      <c r="E172" s="625">
        <v>414.7</v>
      </c>
      <c r="F172" s="625">
        <v>0</v>
      </c>
      <c r="G172" s="626">
        <f t="shared" ref="G172:G173" si="15">F172</f>
        <v>0</v>
      </c>
      <c r="H172" s="629">
        <v>1298</v>
      </c>
      <c r="I172" s="172">
        <v>0</v>
      </c>
      <c r="J172" s="628">
        <v>0</v>
      </c>
      <c r="K172" s="628">
        <v>0</v>
      </c>
      <c r="L172" s="8"/>
      <c r="M172" s="1"/>
      <c r="N172" s="1"/>
      <c r="O172" s="1"/>
      <c r="P172" s="1"/>
      <c r="Q172" s="1"/>
    </row>
    <row r="173" spans="1:17">
      <c r="A173" s="5">
        <v>777</v>
      </c>
      <c r="B173" s="24" t="s">
        <v>340</v>
      </c>
      <c r="C173" s="628">
        <v>971</v>
      </c>
      <c r="D173" s="663"/>
      <c r="E173" s="625">
        <v>414.7</v>
      </c>
      <c r="F173" s="625">
        <v>0</v>
      </c>
      <c r="G173" s="626">
        <f t="shared" si="15"/>
        <v>0</v>
      </c>
      <c r="H173" s="629">
        <v>1298</v>
      </c>
      <c r="I173" s="172">
        <v>0</v>
      </c>
      <c r="J173" s="628">
        <v>0</v>
      </c>
      <c r="K173" s="628">
        <v>155</v>
      </c>
      <c r="L173" s="8"/>
      <c r="M173" s="1"/>
      <c r="N173" s="1"/>
      <c r="O173" s="1"/>
      <c r="P173" s="1"/>
      <c r="Q173" s="1"/>
    </row>
    <row r="174" spans="1:17">
      <c r="A174" s="5">
        <v>778</v>
      </c>
      <c r="B174" s="24" t="s">
        <v>341</v>
      </c>
      <c r="C174" s="628">
        <v>1692</v>
      </c>
      <c r="D174" s="663"/>
      <c r="E174" s="625">
        <v>76</v>
      </c>
      <c r="F174" s="625">
        <v>362.7</v>
      </c>
      <c r="G174" s="630">
        <f t="shared" si="4"/>
        <v>453.375</v>
      </c>
      <c r="H174" s="629">
        <v>2040</v>
      </c>
      <c r="I174" s="172">
        <v>17</v>
      </c>
      <c r="J174" s="628">
        <v>0</v>
      </c>
      <c r="K174" s="628">
        <v>0</v>
      </c>
      <c r="L174" s="8"/>
      <c r="M174" s="1"/>
      <c r="N174" s="1"/>
      <c r="O174" s="1"/>
      <c r="P174" s="1"/>
      <c r="Q174" s="1"/>
    </row>
    <row r="175" spans="1:17">
      <c r="A175" s="5">
        <v>779</v>
      </c>
      <c r="B175" s="25" t="s">
        <v>342</v>
      </c>
      <c r="C175" s="628">
        <v>853</v>
      </c>
      <c r="D175" s="663"/>
      <c r="E175" s="625">
        <v>414.7</v>
      </c>
      <c r="F175" s="625">
        <v>0</v>
      </c>
      <c r="G175" s="626">
        <f t="shared" ref="G175:G178" si="16">F175</f>
        <v>0</v>
      </c>
      <c r="H175" s="629">
        <v>1180</v>
      </c>
      <c r="I175" s="172">
        <v>0</v>
      </c>
      <c r="J175" s="628">
        <v>0</v>
      </c>
      <c r="K175" s="628">
        <v>0</v>
      </c>
      <c r="L175" s="8"/>
      <c r="M175" s="1"/>
      <c r="N175" s="1"/>
      <c r="O175" s="1"/>
      <c r="P175" s="1"/>
      <c r="Q175" s="1"/>
    </row>
    <row r="176" spans="1:17">
      <c r="A176" s="5">
        <v>780</v>
      </c>
      <c r="B176" s="24" t="s">
        <v>343</v>
      </c>
      <c r="C176" s="628">
        <v>3146</v>
      </c>
      <c r="D176" s="663"/>
      <c r="E176" s="625">
        <v>0</v>
      </c>
      <c r="F176" s="625">
        <v>0</v>
      </c>
      <c r="G176" s="626">
        <f t="shared" si="16"/>
        <v>0</v>
      </c>
      <c r="H176" s="629">
        <v>3146</v>
      </c>
      <c r="I176" s="172">
        <v>0</v>
      </c>
      <c r="J176" s="628">
        <v>0</v>
      </c>
      <c r="K176" s="628">
        <v>0</v>
      </c>
      <c r="L176" s="8"/>
      <c r="M176" s="1"/>
      <c r="N176" s="1"/>
      <c r="O176" s="1"/>
      <c r="P176" s="1"/>
      <c r="Q176" s="1"/>
    </row>
    <row r="177" spans="1:17">
      <c r="A177" s="5">
        <v>781</v>
      </c>
      <c r="B177" s="24" t="s">
        <v>344</v>
      </c>
      <c r="C177" s="628">
        <v>2288</v>
      </c>
      <c r="D177" s="663"/>
      <c r="E177" s="625">
        <v>0</v>
      </c>
      <c r="F177" s="625">
        <v>0</v>
      </c>
      <c r="G177" s="626">
        <f t="shared" si="16"/>
        <v>0</v>
      </c>
      <c r="H177" s="629">
        <v>2288</v>
      </c>
      <c r="I177" s="172">
        <v>0</v>
      </c>
      <c r="J177" s="628">
        <v>0</v>
      </c>
      <c r="K177" s="628">
        <v>0</v>
      </c>
      <c r="L177" s="8"/>
      <c r="M177" s="1"/>
      <c r="N177" s="1"/>
      <c r="O177" s="1"/>
      <c r="P177" s="1"/>
      <c r="Q177" s="1"/>
    </row>
    <row r="178" spans="1:17">
      <c r="A178" s="5">
        <v>783</v>
      </c>
      <c r="B178" s="24" t="s">
        <v>345</v>
      </c>
      <c r="C178" s="628">
        <v>690</v>
      </c>
      <c r="D178" s="663"/>
      <c r="E178" s="625">
        <v>414.7</v>
      </c>
      <c r="F178" s="625">
        <v>0</v>
      </c>
      <c r="G178" s="626">
        <f t="shared" si="16"/>
        <v>0</v>
      </c>
      <c r="H178" s="629">
        <v>1017</v>
      </c>
      <c r="I178" s="172">
        <v>0</v>
      </c>
      <c r="J178" s="628">
        <v>0</v>
      </c>
      <c r="K178" s="628">
        <v>0</v>
      </c>
      <c r="L178" s="8"/>
      <c r="M178" s="1"/>
      <c r="N178" s="1"/>
      <c r="O178" s="1"/>
      <c r="P178" s="1"/>
      <c r="Q178" s="1"/>
    </row>
    <row r="179" spans="1:17">
      <c r="A179" s="5">
        <v>784</v>
      </c>
      <c r="B179" s="34" t="s">
        <v>346</v>
      </c>
      <c r="C179" s="636">
        <v>1600</v>
      </c>
      <c r="D179" s="664"/>
      <c r="E179" s="625">
        <v>88</v>
      </c>
      <c r="F179" s="625">
        <v>310.7</v>
      </c>
      <c r="G179" s="630">
        <f t="shared" ref="G179:G231" si="17">F179*1.25</f>
        <v>388.375</v>
      </c>
      <c r="H179" s="629">
        <v>1921</v>
      </c>
      <c r="I179" s="172">
        <v>0</v>
      </c>
      <c r="J179" s="628">
        <v>0</v>
      </c>
      <c r="K179" s="628">
        <v>0</v>
      </c>
      <c r="L179" s="8"/>
      <c r="M179" s="1"/>
      <c r="N179" s="1"/>
      <c r="O179" s="1"/>
      <c r="P179" s="1"/>
      <c r="Q179" s="1"/>
    </row>
    <row r="180" spans="1:17">
      <c r="A180" s="35">
        <v>785</v>
      </c>
      <c r="B180" s="34" t="s">
        <v>347</v>
      </c>
      <c r="C180" s="636">
        <v>1782</v>
      </c>
      <c r="D180" s="664"/>
      <c r="E180" s="625">
        <v>64</v>
      </c>
      <c r="F180" s="625">
        <v>517.29999999999995</v>
      </c>
      <c r="G180" s="630">
        <f t="shared" si="17"/>
        <v>646.625</v>
      </c>
      <c r="H180" s="629">
        <v>2234</v>
      </c>
      <c r="I180" s="172">
        <v>17</v>
      </c>
      <c r="J180" s="628">
        <v>0</v>
      </c>
      <c r="K180" s="628">
        <v>0</v>
      </c>
      <c r="L180" s="8"/>
      <c r="M180" s="1"/>
      <c r="N180" s="1"/>
      <c r="O180" s="1"/>
      <c r="P180" s="1"/>
      <c r="Q180" s="1"/>
    </row>
    <row r="181" spans="1:17">
      <c r="A181" s="35">
        <v>787</v>
      </c>
      <c r="B181" s="34" t="s">
        <v>348</v>
      </c>
      <c r="C181" s="636">
        <v>1700</v>
      </c>
      <c r="D181" s="664"/>
      <c r="E181" s="625">
        <v>75</v>
      </c>
      <c r="F181" s="625">
        <v>310.7</v>
      </c>
      <c r="G181" s="630">
        <f t="shared" si="17"/>
        <v>388.375</v>
      </c>
      <c r="H181" s="629">
        <v>2008</v>
      </c>
      <c r="I181" s="172">
        <v>17</v>
      </c>
      <c r="J181" s="628">
        <v>0</v>
      </c>
      <c r="K181" s="628">
        <v>0</v>
      </c>
      <c r="L181" s="8"/>
      <c r="M181" s="1"/>
      <c r="N181" s="1"/>
      <c r="O181" s="1"/>
      <c r="P181" s="1"/>
      <c r="Q181" s="1"/>
    </row>
    <row r="182" spans="1:17">
      <c r="A182" s="5">
        <v>788</v>
      </c>
      <c r="B182" s="24" t="s">
        <v>349</v>
      </c>
      <c r="C182" s="628">
        <v>2000</v>
      </c>
      <c r="D182" s="663"/>
      <c r="E182" s="625">
        <v>36</v>
      </c>
      <c r="F182" s="625">
        <v>0</v>
      </c>
      <c r="G182" s="626">
        <f t="shared" ref="G182:G183" si="18">F182</f>
        <v>0</v>
      </c>
      <c r="H182" s="629">
        <v>2036</v>
      </c>
      <c r="I182" s="172">
        <v>0</v>
      </c>
      <c r="J182" s="628">
        <v>0</v>
      </c>
      <c r="K182" s="628">
        <v>0</v>
      </c>
      <c r="L182" s="8"/>
      <c r="M182" s="1"/>
      <c r="N182" s="1"/>
      <c r="O182" s="1"/>
      <c r="P182" s="1"/>
      <c r="Q182" s="1"/>
    </row>
    <row r="183" spans="1:17">
      <c r="A183" s="5">
        <v>789</v>
      </c>
      <c r="B183" s="24" t="s">
        <v>350</v>
      </c>
      <c r="C183" s="628">
        <v>971</v>
      </c>
      <c r="D183" s="663"/>
      <c r="E183" s="625">
        <v>414.7</v>
      </c>
      <c r="F183" s="625">
        <v>0</v>
      </c>
      <c r="G183" s="626">
        <f t="shared" si="18"/>
        <v>0</v>
      </c>
      <c r="H183" s="629">
        <v>1298</v>
      </c>
      <c r="I183" s="172">
        <v>0</v>
      </c>
      <c r="J183" s="628">
        <v>0</v>
      </c>
      <c r="K183" s="628">
        <v>0</v>
      </c>
      <c r="L183" s="8"/>
      <c r="M183" s="1"/>
      <c r="N183" s="1"/>
      <c r="O183" s="1"/>
      <c r="P183" s="1"/>
      <c r="Q183" s="1"/>
    </row>
    <row r="184" spans="1:17">
      <c r="A184" s="5">
        <v>791</v>
      </c>
      <c r="B184" s="24" t="s">
        <v>351</v>
      </c>
      <c r="C184" s="628">
        <v>2913</v>
      </c>
      <c r="D184" s="663"/>
      <c r="E184" s="625">
        <v>0</v>
      </c>
      <c r="F184" s="625">
        <v>776</v>
      </c>
      <c r="G184" s="630">
        <f t="shared" si="17"/>
        <v>970</v>
      </c>
      <c r="H184" s="629">
        <v>3379</v>
      </c>
      <c r="I184" s="172">
        <v>17</v>
      </c>
      <c r="J184" s="628">
        <v>0</v>
      </c>
      <c r="K184" s="628">
        <v>0</v>
      </c>
      <c r="L184" s="8"/>
      <c r="M184" s="1"/>
      <c r="N184" s="1"/>
      <c r="O184" s="1"/>
      <c r="P184" s="1"/>
      <c r="Q184" s="1"/>
    </row>
    <row r="185" spans="1:17">
      <c r="A185" s="5">
        <v>792</v>
      </c>
      <c r="B185" s="24" t="s">
        <v>352</v>
      </c>
      <c r="C185" s="628">
        <v>2913</v>
      </c>
      <c r="D185" s="663"/>
      <c r="E185" s="625">
        <v>0</v>
      </c>
      <c r="F185" s="625">
        <v>776</v>
      </c>
      <c r="G185" s="630">
        <f t="shared" si="17"/>
        <v>970</v>
      </c>
      <c r="H185" s="629">
        <v>3379</v>
      </c>
      <c r="I185" s="172">
        <v>0</v>
      </c>
      <c r="J185" s="628">
        <v>0</v>
      </c>
      <c r="K185" s="628">
        <v>0</v>
      </c>
      <c r="L185" s="8"/>
      <c r="M185" s="1"/>
      <c r="N185" s="1"/>
      <c r="O185" s="1"/>
      <c r="P185" s="1"/>
      <c r="Q185" s="1"/>
    </row>
    <row r="186" spans="1:17">
      <c r="A186" s="5">
        <v>793</v>
      </c>
      <c r="B186" s="24" t="s">
        <v>353</v>
      </c>
      <c r="C186" s="628">
        <v>2913</v>
      </c>
      <c r="D186" s="663"/>
      <c r="E186" s="625">
        <v>0</v>
      </c>
      <c r="F186" s="625">
        <v>776</v>
      </c>
      <c r="G186" s="630">
        <f t="shared" si="17"/>
        <v>970</v>
      </c>
      <c r="H186" s="629">
        <v>3379</v>
      </c>
      <c r="I186" s="172">
        <v>0</v>
      </c>
      <c r="J186" s="628">
        <v>0</v>
      </c>
      <c r="K186" s="628">
        <v>0</v>
      </c>
      <c r="L186" s="8"/>
      <c r="M186" s="1"/>
      <c r="N186" s="1"/>
      <c r="O186" s="1"/>
      <c r="P186" s="1"/>
      <c r="Q186" s="1"/>
    </row>
    <row r="187" spans="1:17">
      <c r="A187" s="5">
        <v>794</v>
      </c>
      <c r="B187" s="24" t="s">
        <v>354</v>
      </c>
      <c r="C187" s="628">
        <v>1840</v>
      </c>
      <c r="D187" s="663">
        <v>744</v>
      </c>
      <c r="E187" s="625">
        <v>57</v>
      </c>
      <c r="F187" s="625">
        <v>465.3</v>
      </c>
      <c r="G187" s="630">
        <f t="shared" si="17"/>
        <v>581.625</v>
      </c>
      <c r="H187" s="629">
        <v>2246</v>
      </c>
      <c r="I187" s="172">
        <v>0</v>
      </c>
      <c r="J187" s="628">
        <v>0</v>
      </c>
      <c r="K187" s="628">
        <v>0</v>
      </c>
      <c r="L187" s="8"/>
      <c r="M187" s="1"/>
      <c r="N187" s="1"/>
      <c r="O187" s="1"/>
      <c r="P187" s="1"/>
      <c r="Q187" s="1"/>
    </row>
    <row r="188" spans="1:17">
      <c r="A188" s="5">
        <v>795</v>
      </c>
      <c r="B188" s="24" t="s">
        <v>355</v>
      </c>
      <c r="C188" s="636">
        <v>1610</v>
      </c>
      <c r="D188" s="664">
        <v>650</v>
      </c>
      <c r="E188" s="625">
        <v>107</v>
      </c>
      <c r="F188" s="625">
        <v>310.7</v>
      </c>
      <c r="G188" s="630">
        <f t="shared" si="17"/>
        <v>388.375</v>
      </c>
      <c r="H188" s="629">
        <v>1950</v>
      </c>
      <c r="I188" s="172">
        <v>0</v>
      </c>
      <c r="J188" s="628">
        <v>0</v>
      </c>
      <c r="K188" s="628">
        <v>0</v>
      </c>
      <c r="L188" s="8"/>
      <c r="M188" s="1"/>
      <c r="N188" s="1"/>
      <c r="O188" s="1"/>
      <c r="P188" s="1"/>
      <c r="Q188" s="1"/>
    </row>
    <row r="189" spans="1:17">
      <c r="A189" s="5">
        <v>796</v>
      </c>
      <c r="B189" s="24" t="s">
        <v>356</v>
      </c>
      <c r="C189" s="628">
        <v>1340</v>
      </c>
      <c r="D189" s="663"/>
      <c r="E189" s="625">
        <v>122</v>
      </c>
      <c r="F189" s="625">
        <v>310.7</v>
      </c>
      <c r="G189" s="630">
        <f t="shared" si="17"/>
        <v>388.375</v>
      </c>
      <c r="H189" s="629">
        <v>1695</v>
      </c>
      <c r="I189" s="172">
        <v>0</v>
      </c>
      <c r="J189" s="628">
        <v>0</v>
      </c>
      <c r="K189" s="628">
        <v>0</v>
      </c>
      <c r="L189" s="8"/>
      <c r="M189" s="1"/>
      <c r="N189" s="1"/>
      <c r="O189" s="1"/>
      <c r="P189" s="1"/>
      <c r="Q189" s="1"/>
    </row>
    <row r="190" spans="1:17">
      <c r="A190" s="5">
        <v>797</v>
      </c>
      <c r="B190" s="24" t="s">
        <v>357</v>
      </c>
      <c r="C190" s="628">
        <v>1170</v>
      </c>
      <c r="D190" s="663"/>
      <c r="E190" s="625">
        <v>144</v>
      </c>
      <c r="F190" s="625">
        <v>0</v>
      </c>
      <c r="G190" s="626">
        <f t="shared" ref="G190:G191" si="19">F190</f>
        <v>0</v>
      </c>
      <c r="H190" s="629">
        <v>1314</v>
      </c>
      <c r="I190" s="172">
        <v>0</v>
      </c>
      <c r="J190" s="628">
        <v>0</v>
      </c>
      <c r="K190" s="628">
        <v>0</v>
      </c>
      <c r="L190" s="8"/>
      <c r="M190" s="1"/>
      <c r="N190" s="1"/>
      <c r="O190" s="1"/>
      <c r="P190" s="1"/>
      <c r="Q190" s="1"/>
    </row>
    <row r="191" spans="1:17">
      <c r="A191" s="5">
        <v>798</v>
      </c>
      <c r="B191" s="24" t="s">
        <v>358</v>
      </c>
      <c r="C191" s="628">
        <v>961</v>
      </c>
      <c r="D191" s="663"/>
      <c r="E191" s="625">
        <v>414.7</v>
      </c>
      <c r="F191" s="625">
        <v>0</v>
      </c>
      <c r="G191" s="626">
        <f t="shared" si="19"/>
        <v>0</v>
      </c>
      <c r="H191" s="629">
        <v>1288</v>
      </c>
      <c r="I191" s="172">
        <v>0</v>
      </c>
      <c r="J191" s="628">
        <v>0</v>
      </c>
      <c r="K191" s="628">
        <v>0</v>
      </c>
      <c r="L191" s="8"/>
      <c r="M191" s="1"/>
      <c r="N191" s="1"/>
      <c r="O191" s="1"/>
      <c r="P191" s="1"/>
      <c r="Q191" s="1"/>
    </row>
    <row r="192" spans="1:17">
      <c r="A192" s="26">
        <v>800</v>
      </c>
      <c r="B192" s="27" t="s">
        <v>359</v>
      </c>
      <c r="C192" s="632">
        <v>1942</v>
      </c>
      <c r="D192" s="663"/>
      <c r="E192" s="625">
        <v>43</v>
      </c>
      <c r="F192" s="625">
        <v>310.7</v>
      </c>
      <c r="G192" s="630">
        <f t="shared" si="17"/>
        <v>388.375</v>
      </c>
      <c r="H192" s="629">
        <v>2218</v>
      </c>
      <c r="I192" s="628">
        <v>17</v>
      </c>
      <c r="J192" s="628">
        <v>0</v>
      </c>
      <c r="K192" s="628">
        <v>0</v>
      </c>
      <c r="L192" s="8"/>
      <c r="M192" s="1"/>
      <c r="N192" s="1"/>
      <c r="O192" s="1"/>
      <c r="P192" s="1"/>
      <c r="Q192" s="1"/>
    </row>
    <row r="193" spans="1:17">
      <c r="A193" s="26">
        <v>801</v>
      </c>
      <c r="B193" s="27" t="s">
        <v>360</v>
      </c>
      <c r="C193" s="632">
        <v>1782</v>
      </c>
      <c r="D193" s="663"/>
      <c r="E193" s="625">
        <v>64</v>
      </c>
      <c r="F193" s="625">
        <v>310.7</v>
      </c>
      <c r="G193" s="630">
        <f t="shared" si="17"/>
        <v>388.375</v>
      </c>
      <c r="H193" s="629">
        <v>2079</v>
      </c>
      <c r="I193" s="628">
        <v>17</v>
      </c>
      <c r="J193" s="628">
        <v>0</v>
      </c>
      <c r="K193" s="628">
        <v>0</v>
      </c>
      <c r="L193" s="8"/>
      <c r="M193" s="1"/>
      <c r="N193" s="1"/>
      <c r="O193" s="1"/>
      <c r="P193" s="1"/>
      <c r="Q193" s="1"/>
    </row>
    <row r="194" spans="1:17">
      <c r="A194" s="26">
        <v>802</v>
      </c>
      <c r="B194" s="27" t="s">
        <v>361</v>
      </c>
      <c r="C194" s="632">
        <v>1700</v>
      </c>
      <c r="D194" s="663"/>
      <c r="E194" s="625">
        <v>75</v>
      </c>
      <c r="F194" s="625">
        <v>310.7</v>
      </c>
      <c r="G194" s="630">
        <f t="shared" si="17"/>
        <v>388.375</v>
      </c>
      <c r="H194" s="629">
        <v>2008</v>
      </c>
      <c r="I194" s="628">
        <v>17</v>
      </c>
      <c r="J194" s="628">
        <v>0</v>
      </c>
      <c r="K194" s="628">
        <v>0</v>
      </c>
      <c r="L194" s="8"/>
      <c r="M194" s="1"/>
      <c r="N194" s="1"/>
      <c r="O194" s="1"/>
      <c r="P194" s="1"/>
      <c r="Q194" s="1"/>
    </row>
    <row r="195" spans="1:17">
      <c r="A195" s="26">
        <v>803</v>
      </c>
      <c r="B195" s="27" t="s">
        <v>362</v>
      </c>
      <c r="C195" s="632">
        <v>971</v>
      </c>
      <c r="D195" s="663"/>
      <c r="E195" s="625">
        <v>214</v>
      </c>
      <c r="F195" s="625">
        <v>0</v>
      </c>
      <c r="G195" s="626">
        <f>F195</f>
        <v>0</v>
      </c>
      <c r="H195" s="629">
        <v>1298</v>
      </c>
      <c r="I195" s="631">
        <v>0</v>
      </c>
      <c r="J195" s="632">
        <v>413</v>
      </c>
      <c r="K195" s="632">
        <v>0</v>
      </c>
      <c r="L195" s="29"/>
      <c r="M195" s="30"/>
      <c r="N195" s="30"/>
      <c r="O195" s="30"/>
      <c r="P195" s="30"/>
      <c r="Q195" s="30"/>
    </row>
    <row r="196" spans="1:17">
      <c r="A196" s="26">
        <v>807</v>
      </c>
      <c r="B196" s="27" t="s">
        <v>363</v>
      </c>
      <c r="C196" s="632">
        <v>1942</v>
      </c>
      <c r="D196" s="663"/>
      <c r="E196" s="625">
        <v>43</v>
      </c>
      <c r="F196" s="625">
        <v>518</v>
      </c>
      <c r="G196" s="630">
        <f t="shared" si="17"/>
        <v>647.5</v>
      </c>
      <c r="H196" s="629">
        <v>0</v>
      </c>
      <c r="I196" s="632">
        <v>0</v>
      </c>
      <c r="J196" s="632">
        <v>0</v>
      </c>
      <c r="K196" s="632">
        <v>0</v>
      </c>
      <c r="L196" s="28">
        <v>0</v>
      </c>
      <c r="M196" s="30"/>
      <c r="N196" s="30"/>
      <c r="O196" s="30"/>
      <c r="P196" s="30"/>
      <c r="Q196" s="30"/>
    </row>
    <row r="197" spans="1:17">
      <c r="A197" s="5">
        <v>808</v>
      </c>
      <c r="B197" s="24" t="s">
        <v>364</v>
      </c>
      <c r="C197" s="628">
        <v>1942</v>
      </c>
      <c r="D197" s="663"/>
      <c r="E197" s="625">
        <v>43</v>
      </c>
      <c r="F197" s="625">
        <v>310.7</v>
      </c>
      <c r="G197" s="630">
        <f t="shared" si="17"/>
        <v>388.375</v>
      </c>
      <c r="H197" s="629">
        <v>2218</v>
      </c>
      <c r="I197" s="172">
        <v>0</v>
      </c>
      <c r="J197" s="628">
        <v>0</v>
      </c>
      <c r="K197" s="628">
        <v>669</v>
      </c>
      <c r="L197" s="8"/>
      <c r="M197" s="1"/>
      <c r="N197" s="1"/>
      <c r="O197" s="1"/>
      <c r="P197" s="1"/>
      <c r="Q197" s="1"/>
    </row>
    <row r="198" spans="1:17">
      <c r="A198" s="5">
        <v>809</v>
      </c>
      <c r="B198" s="24" t="s">
        <v>365</v>
      </c>
      <c r="C198" s="628">
        <v>1782</v>
      </c>
      <c r="D198" s="663"/>
      <c r="E198" s="625">
        <v>64</v>
      </c>
      <c r="F198" s="625">
        <v>310.7</v>
      </c>
      <c r="G198" s="630">
        <f t="shared" si="17"/>
        <v>388.375</v>
      </c>
      <c r="H198" s="629">
        <v>2079</v>
      </c>
      <c r="I198" s="172">
        <v>0</v>
      </c>
      <c r="J198" s="628">
        <v>0</v>
      </c>
      <c r="K198" s="628">
        <v>669</v>
      </c>
      <c r="L198" s="8"/>
      <c r="M198" s="1"/>
      <c r="N198" s="1"/>
      <c r="O198" s="1"/>
      <c r="P198" s="1"/>
      <c r="Q198" s="1"/>
    </row>
    <row r="199" spans="1:17">
      <c r="A199" s="5">
        <v>810</v>
      </c>
      <c r="B199" s="24" t="s">
        <v>366</v>
      </c>
      <c r="C199" s="628">
        <v>1692</v>
      </c>
      <c r="D199" s="663"/>
      <c r="E199" s="625">
        <v>76</v>
      </c>
      <c r="F199" s="625">
        <v>310.7</v>
      </c>
      <c r="G199" s="630">
        <f t="shared" si="17"/>
        <v>388.375</v>
      </c>
      <c r="H199" s="629">
        <v>2001</v>
      </c>
      <c r="I199" s="172">
        <v>0</v>
      </c>
      <c r="J199" s="628">
        <v>0</v>
      </c>
      <c r="K199" s="628">
        <v>663</v>
      </c>
      <c r="L199" s="8"/>
      <c r="M199" s="1"/>
      <c r="N199" s="1"/>
      <c r="O199" s="1"/>
      <c r="P199" s="1"/>
      <c r="Q199" s="1"/>
    </row>
    <row r="200" spans="1:17">
      <c r="A200" s="5">
        <v>811</v>
      </c>
      <c r="B200" s="24" t="s">
        <v>367</v>
      </c>
      <c r="C200" s="628">
        <v>1592</v>
      </c>
      <c r="D200" s="663"/>
      <c r="E200" s="625">
        <v>89</v>
      </c>
      <c r="F200" s="625">
        <v>310.7</v>
      </c>
      <c r="G200" s="630">
        <f t="shared" si="17"/>
        <v>388.375</v>
      </c>
      <c r="H200" s="629">
        <v>1914</v>
      </c>
      <c r="I200" s="172">
        <v>0</v>
      </c>
      <c r="J200" s="628">
        <v>0</v>
      </c>
      <c r="K200" s="628">
        <v>657</v>
      </c>
      <c r="L200" s="8"/>
      <c r="M200" s="1"/>
      <c r="N200" s="1"/>
      <c r="O200" s="1"/>
      <c r="P200" s="1"/>
      <c r="Q200" s="1"/>
    </row>
    <row r="201" spans="1:17">
      <c r="A201" s="5">
        <v>812</v>
      </c>
      <c r="B201" s="24" t="s">
        <v>368</v>
      </c>
      <c r="C201" s="628">
        <v>1600</v>
      </c>
      <c r="D201" s="663"/>
      <c r="E201" s="625">
        <v>88</v>
      </c>
      <c r="F201" s="625">
        <v>310.7</v>
      </c>
      <c r="G201" s="630">
        <f t="shared" si="17"/>
        <v>388.375</v>
      </c>
      <c r="H201" s="629">
        <v>1921</v>
      </c>
      <c r="I201" s="172">
        <v>0</v>
      </c>
      <c r="J201" s="628">
        <v>0</v>
      </c>
      <c r="K201" s="628">
        <v>657</v>
      </c>
      <c r="L201" s="8"/>
      <c r="M201" s="1"/>
      <c r="N201" s="1"/>
      <c r="O201" s="1"/>
      <c r="P201" s="1"/>
      <c r="Q201" s="1"/>
    </row>
    <row r="202" spans="1:17">
      <c r="A202" s="5">
        <v>813</v>
      </c>
      <c r="B202" s="24" t="s">
        <v>369</v>
      </c>
      <c r="C202" s="628">
        <v>971</v>
      </c>
      <c r="D202" s="663"/>
      <c r="E202" s="625">
        <v>214</v>
      </c>
      <c r="F202" s="625">
        <v>0</v>
      </c>
      <c r="G202" s="626">
        <f t="shared" ref="G202:G204" si="20">F202</f>
        <v>0</v>
      </c>
      <c r="H202" s="629">
        <v>1185</v>
      </c>
      <c r="I202" s="172">
        <v>0</v>
      </c>
      <c r="J202" s="628">
        <v>0</v>
      </c>
      <c r="K202" s="628">
        <v>620</v>
      </c>
      <c r="L202" s="8"/>
      <c r="M202" s="1"/>
      <c r="N202" s="1"/>
      <c r="O202" s="1"/>
      <c r="P202" s="1"/>
      <c r="Q202" s="1"/>
    </row>
    <row r="203" spans="1:17">
      <c r="A203" s="5">
        <v>814</v>
      </c>
      <c r="B203" s="24" t="s">
        <v>370</v>
      </c>
      <c r="C203" s="628">
        <v>971</v>
      </c>
      <c r="D203" s="663"/>
      <c r="E203" s="625">
        <v>214</v>
      </c>
      <c r="F203" s="625">
        <v>0</v>
      </c>
      <c r="G203" s="626">
        <f t="shared" si="20"/>
        <v>0</v>
      </c>
      <c r="H203" s="629">
        <v>1185</v>
      </c>
      <c r="I203" s="172">
        <v>0</v>
      </c>
      <c r="J203" s="628">
        <v>0</v>
      </c>
      <c r="K203" s="628">
        <v>155</v>
      </c>
      <c r="L203" s="8"/>
      <c r="M203" s="1"/>
      <c r="N203" s="1"/>
      <c r="O203" s="1"/>
      <c r="P203" s="1"/>
      <c r="Q203" s="1"/>
    </row>
    <row r="204" spans="1:17">
      <c r="A204" s="5">
        <v>815</v>
      </c>
      <c r="B204" s="24" t="s">
        <v>371</v>
      </c>
      <c r="C204" s="628">
        <v>971</v>
      </c>
      <c r="D204" s="663"/>
      <c r="E204" s="625">
        <v>214</v>
      </c>
      <c r="F204" s="625">
        <v>0</v>
      </c>
      <c r="G204" s="626">
        <f t="shared" si="20"/>
        <v>0</v>
      </c>
      <c r="H204" s="629">
        <v>1185</v>
      </c>
      <c r="I204" s="172">
        <v>17</v>
      </c>
      <c r="J204" s="628">
        <v>0</v>
      </c>
      <c r="K204" s="628">
        <v>0</v>
      </c>
      <c r="L204" s="8"/>
      <c r="M204" s="1"/>
      <c r="N204" s="1"/>
      <c r="O204" s="1"/>
      <c r="P204" s="1"/>
      <c r="Q204" s="1"/>
    </row>
    <row r="205" spans="1:17">
      <c r="A205" s="5">
        <v>816</v>
      </c>
      <c r="B205" s="24" t="s">
        <v>372</v>
      </c>
      <c r="C205" s="628">
        <v>1600</v>
      </c>
      <c r="D205" s="663"/>
      <c r="E205" s="625">
        <v>88</v>
      </c>
      <c r="F205" s="625">
        <v>310.7</v>
      </c>
      <c r="G205" s="630">
        <f t="shared" si="17"/>
        <v>388.375</v>
      </c>
      <c r="H205" s="629">
        <v>1921</v>
      </c>
      <c r="I205" s="172">
        <v>17</v>
      </c>
      <c r="J205" s="628">
        <v>0</v>
      </c>
      <c r="K205" s="628">
        <v>0</v>
      </c>
      <c r="L205" s="8"/>
      <c r="M205" s="1"/>
      <c r="N205" s="1"/>
      <c r="O205" s="1"/>
      <c r="P205" s="1"/>
      <c r="Q205" s="1"/>
    </row>
    <row r="206" spans="1:17">
      <c r="A206" s="5">
        <v>817</v>
      </c>
      <c r="B206" s="24" t="s">
        <v>373</v>
      </c>
      <c r="C206" s="628">
        <v>1782</v>
      </c>
      <c r="D206" s="663"/>
      <c r="E206" s="625">
        <v>64</v>
      </c>
      <c r="F206" s="625">
        <v>465.3</v>
      </c>
      <c r="G206" s="630">
        <f t="shared" si="17"/>
        <v>581.625</v>
      </c>
      <c r="H206" s="629">
        <v>2195</v>
      </c>
      <c r="I206" s="172">
        <v>0</v>
      </c>
      <c r="J206" s="628">
        <v>0</v>
      </c>
      <c r="K206" s="628">
        <v>839</v>
      </c>
      <c r="L206" s="8"/>
      <c r="M206" s="1"/>
      <c r="N206" s="1"/>
      <c r="O206" s="1"/>
      <c r="P206" s="1"/>
      <c r="Q206" s="1"/>
    </row>
    <row r="207" spans="1:17">
      <c r="A207" s="5">
        <v>818</v>
      </c>
      <c r="B207" s="24" t="s">
        <v>374</v>
      </c>
      <c r="C207" s="628">
        <v>971</v>
      </c>
      <c r="D207" s="663"/>
      <c r="E207" s="625">
        <v>214</v>
      </c>
      <c r="F207" s="625">
        <v>0</v>
      </c>
      <c r="G207" s="626">
        <f t="shared" ref="G207:G208" si="21">F207</f>
        <v>0</v>
      </c>
      <c r="H207" s="629">
        <v>1185</v>
      </c>
      <c r="I207" s="172">
        <v>0</v>
      </c>
      <c r="J207" s="628">
        <v>0</v>
      </c>
      <c r="K207" s="628">
        <v>659</v>
      </c>
      <c r="L207" s="8"/>
      <c r="M207" s="1"/>
      <c r="N207" s="1"/>
      <c r="O207" s="1"/>
      <c r="P207" s="1"/>
      <c r="Q207" s="1"/>
    </row>
    <row r="208" spans="1:17">
      <c r="A208" s="5">
        <v>819</v>
      </c>
      <c r="B208" s="24" t="s">
        <v>375</v>
      </c>
      <c r="C208" s="628">
        <v>971</v>
      </c>
      <c r="D208" s="663"/>
      <c r="E208" s="625">
        <v>214</v>
      </c>
      <c r="F208" s="625">
        <v>0</v>
      </c>
      <c r="G208" s="626">
        <f t="shared" si="21"/>
        <v>0</v>
      </c>
      <c r="H208" s="629">
        <v>1185</v>
      </c>
      <c r="I208" s="172">
        <v>0</v>
      </c>
      <c r="J208" s="628">
        <v>0</v>
      </c>
      <c r="K208" s="628">
        <v>155</v>
      </c>
      <c r="L208" s="8"/>
      <c r="M208" s="1"/>
      <c r="N208" s="1"/>
      <c r="O208" s="1"/>
      <c r="P208" s="1"/>
      <c r="Q208" s="1"/>
    </row>
    <row r="209" spans="1:17">
      <c r="A209" s="5">
        <v>820</v>
      </c>
      <c r="B209" s="24" t="s">
        <v>376</v>
      </c>
      <c r="C209" s="628">
        <v>1692</v>
      </c>
      <c r="D209" s="663"/>
      <c r="E209" s="625">
        <v>76</v>
      </c>
      <c r="F209" s="625">
        <v>362.7</v>
      </c>
      <c r="G209" s="630">
        <f t="shared" si="17"/>
        <v>453.375</v>
      </c>
      <c r="H209" s="629">
        <v>2040</v>
      </c>
      <c r="I209" s="172">
        <v>0</v>
      </c>
      <c r="J209" s="628">
        <v>0</v>
      </c>
      <c r="K209" s="628">
        <v>839</v>
      </c>
      <c r="L209" s="8"/>
      <c r="M209" s="1"/>
      <c r="N209" s="1"/>
      <c r="O209" s="1"/>
      <c r="P209" s="1"/>
      <c r="Q209" s="1"/>
    </row>
    <row r="210" spans="1:17">
      <c r="A210" s="5">
        <v>821</v>
      </c>
      <c r="B210" s="24" t="s">
        <v>377</v>
      </c>
      <c r="C210" s="628">
        <v>1592</v>
      </c>
      <c r="D210" s="663"/>
      <c r="E210" s="625">
        <v>89</v>
      </c>
      <c r="F210" s="625">
        <v>310.7</v>
      </c>
      <c r="G210" s="630">
        <f t="shared" si="17"/>
        <v>388.375</v>
      </c>
      <c r="H210" s="629">
        <v>1914</v>
      </c>
      <c r="I210" s="172">
        <v>0</v>
      </c>
      <c r="J210" s="628">
        <v>0</v>
      </c>
      <c r="K210" s="628">
        <v>839</v>
      </c>
      <c r="L210" s="8"/>
      <c r="M210" s="1"/>
      <c r="N210" s="1"/>
      <c r="O210" s="1"/>
      <c r="P210" s="1"/>
      <c r="Q210" s="1"/>
    </row>
    <row r="211" spans="1:17">
      <c r="A211" s="5">
        <v>822</v>
      </c>
      <c r="B211" s="24" t="s">
        <v>378</v>
      </c>
      <c r="C211" s="628">
        <v>971</v>
      </c>
      <c r="D211" s="663"/>
      <c r="E211" s="625">
        <v>414.7</v>
      </c>
      <c r="F211" s="625">
        <v>0</v>
      </c>
      <c r="G211" s="626">
        <f>F211</f>
        <v>0</v>
      </c>
      <c r="H211" s="629">
        <v>1298</v>
      </c>
      <c r="I211" s="172">
        <v>0</v>
      </c>
      <c r="J211" s="628">
        <v>0</v>
      </c>
      <c r="K211" s="628">
        <v>155</v>
      </c>
      <c r="L211" s="8"/>
      <c r="M211" s="1"/>
      <c r="N211" s="1"/>
      <c r="O211" s="1"/>
      <c r="P211" s="1"/>
      <c r="Q211" s="1"/>
    </row>
    <row r="212" spans="1:17">
      <c r="A212" s="5">
        <v>823</v>
      </c>
      <c r="B212" s="24" t="s">
        <v>379</v>
      </c>
      <c r="C212" s="628">
        <v>1700</v>
      </c>
      <c r="D212" s="663"/>
      <c r="E212" s="625">
        <v>75</v>
      </c>
      <c r="F212" s="625">
        <v>310.7</v>
      </c>
      <c r="G212" s="630">
        <f t="shared" si="17"/>
        <v>388.375</v>
      </c>
      <c r="H212" s="629">
        <v>2008</v>
      </c>
      <c r="I212" s="172">
        <v>0</v>
      </c>
      <c r="J212" s="628">
        <v>0</v>
      </c>
      <c r="K212" s="628">
        <v>657</v>
      </c>
      <c r="L212" s="8"/>
      <c r="M212" s="1"/>
      <c r="N212" s="1"/>
      <c r="O212" s="1"/>
      <c r="P212" s="1"/>
      <c r="Q212" s="1"/>
    </row>
    <row r="213" spans="1:17">
      <c r="A213" s="5">
        <v>824</v>
      </c>
      <c r="B213" s="24" t="s">
        <v>380</v>
      </c>
      <c r="C213" s="628">
        <v>1400</v>
      </c>
      <c r="D213" s="663"/>
      <c r="E213" s="625">
        <v>114</v>
      </c>
      <c r="F213" s="625">
        <v>310.7</v>
      </c>
      <c r="G213" s="630">
        <f t="shared" si="17"/>
        <v>388.375</v>
      </c>
      <c r="H213" s="629">
        <v>1747</v>
      </c>
      <c r="I213" s="172">
        <v>0</v>
      </c>
      <c r="J213" s="628">
        <v>0</v>
      </c>
      <c r="K213" s="628">
        <v>657</v>
      </c>
      <c r="L213" s="8"/>
      <c r="M213" s="1"/>
      <c r="N213" s="1"/>
      <c r="O213" s="1"/>
      <c r="P213" s="1"/>
      <c r="Q213" s="1"/>
    </row>
    <row r="214" spans="1:17">
      <c r="A214" s="5">
        <v>825</v>
      </c>
      <c r="B214" s="24" t="s">
        <v>381</v>
      </c>
      <c r="C214" s="628">
        <v>1300</v>
      </c>
      <c r="D214" s="663"/>
      <c r="E214" s="625">
        <v>127</v>
      </c>
      <c r="F214" s="625">
        <v>310.7</v>
      </c>
      <c r="G214" s="630">
        <f t="shared" si="17"/>
        <v>388.375</v>
      </c>
      <c r="H214" s="629">
        <v>1660</v>
      </c>
      <c r="I214" s="172">
        <v>0</v>
      </c>
      <c r="J214" s="628">
        <v>0</v>
      </c>
      <c r="K214" s="628">
        <v>657</v>
      </c>
      <c r="L214" s="8"/>
      <c r="M214" s="1"/>
      <c r="N214" s="1"/>
      <c r="O214" s="1"/>
      <c r="P214" s="1"/>
      <c r="Q214" s="1"/>
    </row>
    <row r="215" spans="1:17">
      <c r="A215" s="5">
        <v>826</v>
      </c>
      <c r="B215" s="24" t="s">
        <v>382</v>
      </c>
      <c r="C215" s="628">
        <v>1250</v>
      </c>
      <c r="D215" s="663"/>
      <c r="E215" s="625">
        <v>134</v>
      </c>
      <c r="F215" s="625">
        <v>310.7</v>
      </c>
      <c r="G215" s="630">
        <f t="shared" si="17"/>
        <v>388.375</v>
      </c>
      <c r="H215" s="629">
        <v>1617</v>
      </c>
      <c r="I215" s="172">
        <v>0</v>
      </c>
      <c r="J215" s="628">
        <v>0</v>
      </c>
      <c r="K215" s="628">
        <v>657</v>
      </c>
      <c r="L215" s="8"/>
      <c r="M215" s="1"/>
      <c r="N215" s="1"/>
      <c r="O215" s="1"/>
      <c r="P215" s="1"/>
      <c r="Q215" s="1"/>
    </row>
    <row r="216" spans="1:17">
      <c r="A216" s="5">
        <v>827</v>
      </c>
      <c r="B216" s="34" t="s">
        <v>383</v>
      </c>
      <c r="C216" s="636">
        <v>1942</v>
      </c>
      <c r="D216" s="664"/>
      <c r="E216" s="625">
        <v>43</v>
      </c>
      <c r="F216" s="625">
        <v>517.29999999999995</v>
      </c>
      <c r="G216" s="630">
        <f t="shared" si="17"/>
        <v>646.625</v>
      </c>
      <c r="H216" s="629">
        <v>2373</v>
      </c>
      <c r="I216" s="172">
        <v>0</v>
      </c>
      <c r="J216" s="628">
        <v>0</v>
      </c>
      <c r="K216" s="628">
        <v>0</v>
      </c>
      <c r="L216" s="8"/>
      <c r="M216" s="1"/>
      <c r="N216" s="1"/>
      <c r="O216" s="1"/>
      <c r="P216" s="1"/>
      <c r="Q216" s="1"/>
    </row>
    <row r="217" spans="1:17">
      <c r="A217" s="5">
        <v>828</v>
      </c>
      <c r="B217" s="24" t="s">
        <v>384</v>
      </c>
      <c r="C217" s="628">
        <v>2913</v>
      </c>
      <c r="D217" s="663"/>
      <c r="E217" s="625">
        <v>0</v>
      </c>
      <c r="F217" s="625">
        <v>0</v>
      </c>
      <c r="G217" s="626">
        <f>F217</f>
        <v>0</v>
      </c>
      <c r="H217" s="629">
        <v>2913</v>
      </c>
      <c r="I217" s="172">
        <v>0</v>
      </c>
      <c r="J217" s="628">
        <v>0</v>
      </c>
      <c r="K217" s="628">
        <v>0</v>
      </c>
      <c r="L217" s="8"/>
      <c r="M217" s="1"/>
      <c r="N217" s="1"/>
      <c r="O217" s="1"/>
      <c r="P217" s="1"/>
      <c r="Q217" s="1"/>
    </row>
    <row r="218" spans="1:17">
      <c r="A218" s="5">
        <v>829</v>
      </c>
      <c r="B218" s="34" t="s">
        <v>385</v>
      </c>
      <c r="C218" s="636">
        <v>1782</v>
      </c>
      <c r="D218" s="664"/>
      <c r="E218" s="625">
        <v>64</v>
      </c>
      <c r="F218" s="625">
        <v>465.3</v>
      </c>
      <c r="G218" s="630">
        <f t="shared" si="17"/>
        <v>581.625</v>
      </c>
      <c r="H218" s="629">
        <v>2195</v>
      </c>
      <c r="I218" s="172">
        <v>0</v>
      </c>
      <c r="J218" s="628">
        <v>0</v>
      </c>
      <c r="K218" s="628">
        <v>0</v>
      </c>
      <c r="L218" s="8"/>
      <c r="M218" s="1"/>
      <c r="N218" s="1"/>
      <c r="O218" s="1"/>
      <c r="P218" s="1"/>
      <c r="Q218" s="1"/>
    </row>
    <row r="219" spans="1:17">
      <c r="A219" s="5">
        <v>830</v>
      </c>
      <c r="B219" s="24" t="s">
        <v>386</v>
      </c>
      <c r="C219" s="628">
        <v>1740</v>
      </c>
      <c r="D219" s="663"/>
      <c r="E219" s="625">
        <v>70</v>
      </c>
      <c r="F219" s="625">
        <v>0</v>
      </c>
      <c r="G219" s="626">
        <f t="shared" ref="G219:G220" si="22">F219</f>
        <v>0</v>
      </c>
      <c r="H219" s="629">
        <v>1810</v>
      </c>
      <c r="I219" s="172">
        <v>0</v>
      </c>
      <c r="J219" s="628">
        <v>0</v>
      </c>
      <c r="K219" s="628">
        <v>0</v>
      </c>
      <c r="L219" s="8"/>
      <c r="M219" s="1"/>
      <c r="N219" s="1"/>
      <c r="O219" s="1"/>
      <c r="P219" s="1"/>
      <c r="Q219" s="1"/>
    </row>
    <row r="220" spans="1:17">
      <c r="A220" s="5">
        <v>831</v>
      </c>
      <c r="B220" s="24" t="s">
        <v>387</v>
      </c>
      <c r="C220" s="628">
        <v>971</v>
      </c>
      <c r="D220" s="663"/>
      <c r="E220" s="625">
        <v>414.7</v>
      </c>
      <c r="F220" s="625">
        <v>0</v>
      </c>
      <c r="G220" s="626">
        <f t="shared" si="22"/>
        <v>0</v>
      </c>
      <c r="H220" s="629">
        <v>1298</v>
      </c>
      <c r="I220" s="172">
        <v>0</v>
      </c>
      <c r="J220" s="628">
        <v>0</v>
      </c>
      <c r="K220" s="628">
        <v>0</v>
      </c>
      <c r="L220" s="8"/>
      <c r="M220" s="1"/>
      <c r="N220" s="1"/>
      <c r="O220" s="1"/>
      <c r="P220" s="1"/>
      <c r="Q220" s="1"/>
    </row>
    <row r="221" spans="1:17">
      <c r="A221" s="35">
        <v>832</v>
      </c>
      <c r="B221" s="34" t="s">
        <v>388</v>
      </c>
      <c r="C221" s="636">
        <v>1700</v>
      </c>
      <c r="D221" s="664"/>
      <c r="E221" s="625">
        <v>75</v>
      </c>
      <c r="F221" s="625">
        <v>310.7</v>
      </c>
      <c r="G221" s="630">
        <f t="shared" si="17"/>
        <v>388.375</v>
      </c>
      <c r="H221" s="629">
        <v>2008</v>
      </c>
      <c r="I221" s="172">
        <v>0</v>
      </c>
      <c r="J221" s="628">
        <v>0</v>
      </c>
      <c r="K221" s="628">
        <v>0</v>
      </c>
      <c r="L221" s="8"/>
      <c r="M221" s="1"/>
      <c r="N221" s="1"/>
      <c r="O221" s="1"/>
      <c r="P221" s="1"/>
      <c r="Q221" s="1"/>
    </row>
    <row r="222" spans="1:17">
      <c r="A222" s="5">
        <v>833</v>
      </c>
      <c r="B222" s="24" t="s">
        <v>389</v>
      </c>
      <c r="C222" s="628">
        <v>971</v>
      </c>
      <c r="D222" s="663"/>
      <c r="E222" s="625">
        <v>214</v>
      </c>
      <c r="F222" s="625">
        <v>0</v>
      </c>
      <c r="G222" s="626">
        <f t="shared" ref="G222:G228" si="23">F222</f>
        <v>0</v>
      </c>
      <c r="H222" s="629">
        <v>1298</v>
      </c>
      <c r="I222" s="172">
        <v>0</v>
      </c>
      <c r="J222" s="628">
        <v>0</v>
      </c>
      <c r="K222" s="628">
        <v>155</v>
      </c>
      <c r="L222" s="8"/>
      <c r="M222" s="1"/>
      <c r="N222" s="1"/>
      <c r="O222" s="1"/>
      <c r="P222" s="1"/>
      <c r="Q222" s="1"/>
    </row>
    <row r="223" spans="1:17">
      <c r="A223" s="5">
        <v>834</v>
      </c>
      <c r="B223" s="24" t="s">
        <v>390</v>
      </c>
      <c r="C223" s="628">
        <v>971</v>
      </c>
      <c r="D223" s="663"/>
      <c r="E223" s="625">
        <v>214</v>
      </c>
      <c r="F223" s="625">
        <v>0</v>
      </c>
      <c r="G223" s="626">
        <f t="shared" si="23"/>
        <v>0</v>
      </c>
      <c r="H223" s="629">
        <v>1298</v>
      </c>
      <c r="I223" s="172">
        <v>0</v>
      </c>
      <c r="J223" s="628">
        <v>0</v>
      </c>
      <c r="K223" s="628">
        <v>155</v>
      </c>
      <c r="L223" s="8"/>
      <c r="M223" s="1"/>
      <c r="N223" s="1"/>
      <c r="O223" s="1"/>
      <c r="P223" s="1"/>
      <c r="Q223" s="1"/>
    </row>
    <row r="224" spans="1:17">
      <c r="A224" s="5">
        <v>835</v>
      </c>
      <c r="B224" s="24" t="s">
        <v>391</v>
      </c>
      <c r="C224" s="628">
        <v>971</v>
      </c>
      <c r="D224" s="663"/>
      <c r="E224" s="625">
        <v>414.7</v>
      </c>
      <c r="F224" s="625">
        <v>0</v>
      </c>
      <c r="G224" s="626">
        <f t="shared" si="23"/>
        <v>0</v>
      </c>
      <c r="H224" s="629">
        <v>1298</v>
      </c>
      <c r="I224" s="172">
        <v>0</v>
      </c>
      <c r="J224" s="628">
        <v>0</v>
      </c>
      <c r="K224" s="628">
        <v>0</v>
      </c>
      <c r="L224" s="8"/>
      <c r="M224" s="1"/>
      <c r="N224" s="1"/>
      <c r="O224" s="1"/>
      <c r="P224" s="1"/>
      <c r="Q224" s="1"/>
    </row>
    <row r="225" spans="1:17">
      <c r="A225" s="5">
        <v>836</v>
      </c>
      <c r="B225" s="24" t="s">
        <v>392</v>
      </c>
      <c r="C225" s="628">
        <v>971</v>
      </c>
      <c r="D225" s="663"/>
      <c r="E225" s="625">
        <v>414.7</v>
      </c>
      <c r="F225" s="625">
        <v>0</v>
      </c>
      <c r="G225" s="626">
        <f t="shared" si="23"/>
        <v>0</v>
      </c>
      <c r="H225" s="629">
        <v>1298</v>
      </c>
      <c r="I225" s="172">
        <v>0</v>
      </c>
      <c r="J225" s="628">
        <v>0</v>
      </c>
      <c r="K225" s="628">
        <v>155</v>
      </c>
      <c r="L225" s="8"/>
      <c r="M225" s="1"/>
      <c r="N225" s="1"/>
      <c r="O225" s="1"/>
      <c r="P225" s="1"/>
      <c r="Q225" s="1"/>
    </row>
    <row r="226" spans="1:17">
      <c r="A226" s="5">
        <v>837</v>
      </c>
      <c r="B226" s="24" t="s">
        <v>393</v>
      </c>
      <c r="C226" s="628">
        <v>971</v>
      </c>
      <c r="D226" s="663"/>
      <c r="E226" s="625">
        <v>414.7</v>
      </c>
      <c r="F226" s="625">
        <v>0</v>
      </c>
      <c r="G226" s="626">
        <f t="shared" si="23"/>
        <v>0</v>
      </c>
      <c r="H226" s="629">
        <v>1298</v>
      </c>
      <c r="I226" s="172">
        <v>0</v>
      </c>
      <c r="J226" s="628">
        <v>0</v>
      </c>
      <c r="K226" s="628">
        <v>155</v>
      </c>
      <c r="L226" s="8"/>
      <c r="M226" s="1"/>
      <c r="N226" s="1"/>
      <c r="O226" s="1"/>
      <c r="P226" s="1"/>
      <c r="Q226" s="1"/>
    </row>
    <row r="227" spans="1:17">
      <c r="A227" s="5">
        <v>839</v>
      </c>
      <c r="B227" s="24" t="s">
        <v>394</v>
      </c>
      <c r="C227" s="628">
        <v>971</v>
      </c>
      <c r="D227" s="663"/>
      <c r="E227" s="625">
        <v>414.7</v>
      </c>
      <c r="F227" s="625">
        <v>0</v>
      </c>
      <c r="G227" s="626">
        <f t="shared" si="23"/>
        <v>0</v>
      </c>
      <c r="H227" s="629">
        <v>1298</v>
      </c>
      <c r="I227" s="172">
        <v>0</v>
      </c>
      <c r="J227" s="628">
        <v>0</v>
      </c>
      <c r="K227" s="628">
        <v>155</v>
      </c>
      <c r="L227" s="8"/>
      <c r="M227" s="1"/>
      <c r="N227" s="1"/>
      <c r="O227" s="1"/>
      <c r="P227" s="1"/>
      <c r="Q227" s="1"/>
    </row>
    <row r="228" spans="1:17">
      <c r="A228" s="5">
        <v>840</v>
      </c>
      <c r="B228" s="24" t="s">
        <v>395</v>
      </c>
      <c r="C228" s="628">
        <v>971</v>
      </c>
      <c r="D228" s="663"/>
      <c r="E228" s="625">
        <v>414.7</v>
      </c>
      <c r="F228" s="625">
        <v>0</v>
      </c>
      <c r="G228" s="626">
        <f t="shared" si="23"/>
        <v>0</v>
      </c>
      <c r="H228" s="629">
        <v>1298</v>
      </c>
      <c r="I228" s="172">
        <v>0</v>
      </c>
      <c r="J228" s="628">
        <v>0</v>
      </c>
      <c r="K228" s="628">
        <v>155</v>
      </c>
      <c r="L228" s="8"/>
      <c r="M228" s="1"/>
      <c r="N228" s="1"/>
      <c r="O228" s="1"/>
      <c r="P228" s="1"/>
      <c r="Q228" s="1"/>
    </row>
    <row r="229" spans="1:17">
      <c r="A229" s="35">
        <v>841</v>
      </c>
      <c r="B229" s="34" t="s">
        <v>396</v>
      </c>
      <c r="C229" s="636">
        <v>1300</v>
      </c>
      <c r="D229" s="664"/>
      <c r="E229" s="625">
        <v>127</v>
      </c>
      <c r="F229" s="625">
        <v>388</v>
      </c>
      <c r="G229" s="630">
        <f t="shared" si="17"/>
        <v>485</v>
      </c>
      <c r="H229" s="629">
        <v>1815</v>
      </c>
      <c r="I229" s="635">
        <v>0</v>
      </c>
      <c r="J229" s="636">
        <v>0</v>
      </c>
      <c r="K229" s="636">
        <v>0</v>
      </c>
      <c r="L229" s="36"/>
      <c r="M229" s="37"/>
      <c r="N229" s="37"/>
      <c r="O229" s="37"/>
      <c r="P229" s="37"/>
      <c r="Q229" s="37"/>
    </row>
    <row r="230" spans="1:17">
      <c r="A230" s="5">
        <v>842</v>
      </c>
      <c r="B230" s="24" t="s">
        <v>397</v>
      </c>
      <c r="C230" s="628">
        <v>1500</v>
      </c>
      <c r="D230" s="663">
        <v>744</v>
      </c>
      <c r="E230" s="625">
        <v>101</v>
      </c>
      <c r="F230" s="625">
        <v>388</v>
      </c>
      <c r="G230" s="630">
        <f t="shared" si="17"/>
        <v>485</v>
      </c>
      <c r="H230" s="629">
        <v>1989</v>
      </c>
      <c r="I230" s="172">
        <v>0</v>
      </c>
      <c r="J230" s="628">
        <v>0</v>
      </c>
      <c r="K230" s="628">
        <v>0</v>
      </c>
      <c r="L230" s="8"/>
      <c r="M230" s="1"/>
      <c r="N230" s="1"/>
      <c r="O230" s="1"/>
      <c r="P230" s="1"/>
      <c r="Q230" s="1"/>
    </row>
    <row r="231" spans="1:17">
      <c r="A231" s="5">
        <v>843</v>
      </c>
      <c r="B231" s="24" t="s">
        <v>398</v>
      </c>
      <c r="C231" s="628">
        <v>1250</v>
      </c>
      <c r="D231" s="663">
        <v>580</v>
      </c>
      <c r="E231" s="625">
        <v>134</v>
      </c>
      <c r="F231" s="625">
        <v>310.7</v>
      </c>
      <c r="G231" s="630">
        <f t="shared" si="17"/>
        <v>388.375</v>
      </c>
      <c r="H231" s="629">
        <v>1617</v>
      </c>
      <c r="I231" s="172">
        <v>0</v>
      </c>
      <c r="J231" s="628">
        <v>0</v>
      </c>
      <c r="K231" s="628">
        <v>0</v>
      </c>
      <c r="L231" s="8"/>
      <c r="M231" s="1"/>
      <c r="N231" s="1"/>
      <c r="O231" s="1"/>
      <c r="P231" s="1"/>
      <c r="Q231" s="1"/>
    </row>
    <row r="232" spans="1:17">
      <c r="A232" s="5">
        <v>844</v>
      </c>
      <c r="B232" s="24" t="s">
        <v>399</v>
      </c>
      <c r="C232" s="628">
        <v>1660</v>
      </c>
      <c r="D232" s="663"/>
      <c r="E232" s="625">
        <v>80</v>
      </c>
      <c r="F232" s="625">
        <v>0</v>
      </c>
      <c r="G232" s="626">
        <f t="shared" ref="G232:G233" si="24">F232</f>
        <v>0</v>
      </c>
      <c r="H232" s="629">
        <v>1740</v>
      </c>
      <c r="I232" s="172">
        <v>0</v>
      </c>
      <c r="J232" s="628">
        <v>0</v>
      </c>
      <c r="K232" s="628">
        <v>0</v>
      </c>
      <c r="L232" s="8"/>
      <c r="M232" s="1"/>
      <c r="N232" s="1"/>
      <c r="O232" s="1"/>
      <c r="P232" s="1"/>
      <c r="Q232" s="1"/>
    </row>
    <row r="233" spans="1:17">
      <c r="A233" s="5">
        <v>849</v>
      </c>
      <c r="B233" s="24" t="s">
        <v>400</v>
      </c>
      <c r="C233" s="628">
        <v>971</v>
      </c>
      <c r="D233" s="663"/>
      <c r="E233" s="625">
        <v>414.7</v>
      </c>
      <c r="F233" s="625">
        <v>0</v>
      </c>
      <c r="G233" s="626">
        <f t="shared" si="24"/>
        <v>0</v>
      </c>
      <c r="H233" s="629">
        <v>1298</v>
      </c>
      <c r="I233" s="172">
        <v>0</v>
      </c>
      <c r="J233" s="628">
        <v>0</v>
      </c>
      <c r="K233" s="628">
        <v>0</v>
      </c>
      <c r="L233" s="8"/>
      <c r="M233" s="1"/>
      <c r="N233" s="1"/>
      <c r="O233" s="1"/>
      <c r="P233" s="1"/>
      <c r="Q233" s="1"/>
    </row>
    <row r="234" spans="1:17">
      <c r="A234" s="5">
        <v>850</v>
      </c>
      <c r="B234" s="27" t="s">
        <v>401</v>
      </c>
      <c r="C234" s="628">
        <v>3146</v>
      </c>
      <c r="D234" s="663"/>
      <c r="E234" s="625">
        <v>0</v>
      </c>
      <c r="F234" s="625">
        <v>621.29999999999995</v>
      </c>
      <c r="G234" s="626">
        <f>F234</f>
        <v>621.29999999999995</v>
      </c>
      <c r="H234" s="629">
        <v>3612</v>
      </c>
      <c r="I234" s="172">
        <v>0</v>
      </c>
      <c r="J234" s="628">
        <v>0</v>
      </c>
      <c r="K234" s="217"/>
      <c r="L234" s="8"/>
      <c r="M234" s="1"/>
      <c r="N234" s="1"/>
      <c r="O234" s="1"/>
      <c r="P234" s="1"/>
      <c r="Q234" s="1"/>
    </row>
    <row r="235" spans="1:17">
      <c r="A235" s="5">
        <v>851</v>
      </c>
      <c r="B235" s="27" t="s">
        <v>402</v>
      </c>
      <c r="C235" s="628">
        <v>2913</v>
      </c>
      <c r="D235" s="663"/>
      <c r="E235" s="625">
        <v>0</v>
      </c>
      <c r="F235" s="625">
        <v>776</v>
      </c>
      <c r="G235" s="626">
        <f t="shared" ref="G235:G248" si="25">F235</f>
        <v>776</v>
      </c>
      <c r="H235" s="629">
        <v>3379</v>
      </c>
      <c r="I235" s="172">
        <v>20</v>
      </c>
      <c r="J235" s="628">
        <v>0</v>
      </c>
      <c r="K235" s="628">
        <v>0</v>
      </c>
      <c r="L235" s="8"/>
      <c r="M235" s="1"/>
      <c r="N235" s="1"/>
      <c r="O235" s="1"/>
      <c r="P235" s="1"/>
      <c r="Q235" s="1"/>
    </row>
    <row r="236" spans="1:17">
      <c r="A236" s="5">
        <v>852</v>
      </c>
      <c r="B236" s="27" t="s">
        <v>403</v>
      </c>
      <c r="C236" s="628">
        <v>2913</v>
      </c>
      <c r="D236" s="663"/>
      <c r="E236" s="625">
        <v>0</v>
      </c>
      <c r="F236" s="625">
        <v>776</v>
      </c>
      <c r="G236" s="626">
        <f t="shared" si="25"/>
        <v>776</v>
      </c>
      <c r="H236" s="629">
        <v>3379</v>
      </c>
      <c r="I236" s="172">
        <v>0</v>
      </c>
      <c r="J236" s="628">
        <v>0</v>
      </c>
      <c r="K236" s="628">
        <v>0</v>
      </c>
      <c r="L236" s="8"/>
      <c r="M236" s="1"/>
      <c r="N236" s="1"/>
      <c r="O236" s="1"/>
      <c r="P236" s="1"/>
      <c r="Q236" s="1"/>
    </row>
    <row r="237" spans="1:17">
      <c r="A237" s="5">
        <v>853</v>
      </c>
      <c r="B237" s="27" t="s">
        <v>404</v>
      </c>
      <c r="C237" s="628">
        <v>2913</v>
      </c>
      <c r="D237" s="663"/>
      <c r="E237" s="625">
        <v>0</v>
      </c>
      <c r="F237" s="625">
        <v>776</v>
      </c>
      <c r="G237" s="626">
        <f t="shared" si="25"/>
        <v>776</v>
      </c>
      <c r="H237" s="629">
        <v>3379</v>
      </c>
      <c r="I237" s="172">
        <v>17</v>
      </c>
      <c r="J237" s="628">
        <v>0</v>
      </c>
      <c r="K237" s="628">
        <v>0</v>
      </c>
      <c r="L237" s="8"/>
      <c r="M237" s="1"/>
      <c r="N237" s="1"/>
      <c r="O237" s="1"/>
      <c r="P237" s="1"/>
      <c r="Q237" s="1"/>
    </row>
    <row r="238" spans="1:17">
      <c r="A238" s="5">
        <v>854</v>
      </c>
      <c r="B238" s="27" t="s">
        <v>405</v>
      </c>
      <c r="C238" s="628">
        <v>2913</v>
      </c>
      <c r="D238" s="663"/>
      <c r="E238" s="625">
        <v>0</v>
      </c>
      <c r="F238" s="625">
        <v>776</v>
      </c>
      <c r="G238" s="626">
        <f t="shared" si="25"/>
        <v>776</v>
      </c>
      <c r="H238" s="629">
        <v>3379</v>
      </c>
      <c r="I238" s="172">
        <v>0</v>
      </c>
      <c r="J238" s="628">
        <v>0</v>
      </c>
      <c r="K238" s="628">
        <v>0</v>
      </c>
      <c r="L238" s="8"/>
      <c r="M238" s="1"/>
      <c r="N238" s="1"/>
      <c r="O238" s="1"/>
      <c r="P238" s="1"/>
      <c r="Q238" s="1"/>
    </row>
    <row r="239" spans="1:17">
      <c r="A239" s="5">
        <v>857</v>
      </c>
      <c r="B239" s="27" t="s">
        <v>406</v>
      </c>
      <c r="C239" s="628">
        <v>2913</v>
      </c>
      <c r="D239" s="663"/>
      <c r="E239" s="625">
        <v>0</v>
      </c>
      <c r="F239" s="625">
        <v>776</v>
      </c>
      <c r="G239" s="626">
        <f t="shared" si="25"/>
        <v>776</v>
      </c>
      <c r="H239" s="629">
        <v>3379</v>
      </c>
      <c r="I239" s="172">
        <v>0</v>
      </c>
      <c r="J239" s="628">
        <v>0</v>
      </c>
      <c r="K239" s="628">
        <v>0</v>
      </c>
      <c r="L239" s="8"/>
      <c r="M239" s="1"/>
      <c r="N239" s="1"/>
      <c r="O239" s="1"/>
      <c r="P239" s="1"/>
      <c r="Q239" s="1"/>
    </row>
    <row r="240" spans="1:17">
      <c r="A240" s="5">
        <v>883</v>
      </c>
      <c r="B240" s="27" t="s">
        <v>152</v>
      </c>
      <c r="C240" s="628">
        <v>2220</v>
      </c>
      <c r="D240" s="663"/>
      <c r="E240" s="625">
        <v>7</v>
      </c>
      <c r="F240" s="625">
        <v>521.4</v>
      </c>
      <c r="G240" s="626">
        <f t="shared" si="25"/>
        <v>521.4</v>
      </c>
      <c r="H240" s="629">
        <v>2748.4</v>
      </c>
      <c r="I240" s="172">
        <v>0</v>
      </c>
      <c r="J240" s="628">
        <v>0</v>
      </c>
      <c r="K240" s="628">
        <v>0</v>
      </c>
      <c r="L240" s="1"/>
      <c r="M240" s="1"/>
      <c r="N240" s="1"/>
      <c r="O240" s="1"/>
      <c r="P240" s="1"/>
      <c r="Q240" s="1"/>
    </row>
    <row r="241" spans="1:17">
      <c r="A241" s="5">
        <v>885</v>
      </c>
      <c r="B241" s="27" t="s">
        <v>407</v>
      </c>
      <c r="C241" s="628">
        <v>1850</v>
      </c>
      <c r="D241" s="663"/>
      <c r="E241" s="625">
        <v>55</v>
      </c>
      <c r="F241" s="625">
        <v>434.5</v>
      </c>
      <c r="G241" s="626">
        <f t="shared" si="25"/>
        <v>434.5</v>
      </c>
      <c r="H241" s="629">
        <v>2339.5</v>
      </c>
      <c r="I241" s="172">
        <v>0</v>
      </c>
      <c r="J241" s="628">
        <v>0</v>
      </c>
      <c r="K241" s="217"/>
      <c r="L241" s="1"/>
      <c r="M241" s="1"/>
      <c r="N241" s="1"/>
      <c r="O241" s="1"/>
      <c r="P241" s="1"/>
      <c r="Q241" s="1"/>
    </row>
    <row r="242" spans="1:17">
      <c r="A242" s="5">
        <v>887</v>
      </c>
      <c r="B242" s="27" t="s">
        <v>153</v>
      </c>
      <c r="C242" s="628">
        <v>1580</v>
      </c>
      <c r="D242" s="663"/>
      <c r="E242" s="625">
        <v>90</v>
      </c>
      <c r="F242" s="625">
        <v>347.6</v>
      </c>
      <c r="G242" s="626">
        <f t="shared" si="25"/>
        <v>347.6</v>
      </c>
      <c r="H242" s="629">
        <v>2017.6</v>
      </c>
      <c r="I242" s="172">
        <v>0</v>
      </c>
      <c r="J242" s="628">
        <v>0</v>
      </c>
      <c r="K242" s="628">
        <v>0</v>
      </c>
      <c r="L242" s="1"/>
      <c r="M242" s="1"/>
      <c r="N242" s="1"/>
      <c r="O242" s="1"/>
      <c r="P242" s="1"/>
      <c r="Q242" s="1"/>
    </row>
    <row r="243" spans="1:17">
      <c r="A243" s="5">
        <v>900</v>
      </c>
      <c r="B243" s="24" t="s">
        <v>408</v>
      </c>
      <c r="C243" s="628">
        <v>3146</v>
      </c>
      <c r="D243" s="663"/>
      <c r="E243" s="625">
        <v>0</v>
      </c>
      <c r="F243" s="625">
        <v>0</v>
      </c>
      <c r="G243" s="626">
        <f t="shared" si="25"/>
        <v>0</v>
      </c>
      <c r="H243" s="629">
        <v>3146</v>
      </c>
      <c r="I243" s="172">
        <v>0</v>
      </c>
      <c r="J243" s="628">
        <v>0</v>
      </c>
      <c r="K243" s="628">
        <v>0</v>
      </c>
      <c r="L243" s="38"/>
      <c r="M243" s="1"/>
      <c r="N243" s="1"/>
      <c r="O243" s="1"/>
      <c r="P243" s="1"/>
      <c r="Q243" s="1"/>
    </row>
    <row r="244" spans="1:17">
      <c r="A244" s="5">
        <v>901</v>
      </c>
      <c r="B244" s="24" t="s">
        <v>409</v>
      </c>
      <c r="C244" s="628">
        <v>2913</v>
      </c>
      <c r="D244" s="663"/>
      <c r="E244" s="625">
        <v>0</v>
      </c>
      <c r="F244" s="625">
        <v>0</v>
      </c>
      <c r="G244" s="626">
        <f t="shared" si="25"/>
        <v>0</v>
      </c>
      <c r="H244" s="629">
        <v>2913</v>
      </c>
      <c r="I244" s="172">
        <v>0</v>
      </c>
      <c r="J244" s="628">
        <v>0</v>
      </c>
      <c r="K244" s="628">
        <v>0</v>
      </c>
      <c r="L244" s="8"/>
      <c r="M244" s="1"/>
      <c r="N244" s="1"/>
      <c r="O244" s="1"/>
      <c r="P244" s="1"/>
      <c r="Q244" s="1"/>
    </row>
    <row r="245" spans="1:17">
      <c r="A245" s="5">
        <v>902</v>
      </c>
      <c r="B245" s="24" t="s">
        <v>410</v>
      </c>
      <c r="C245" s="628">
        <v>2913</v>
      </c>
      <c r="D245" s="663"/>
      <c r="E245" s="625">
        <v>0</v>
      </c>
      <c r="F245" s="625">
        <v>776</v>
      </c>
      <c r="G245" s="626">
        <f t="shared" si="25"/>
        <v>776</v>
      </c>
      <c r="H245" s="629">
        <v>3379</v>
      </c>
      <c r="I245" s="172">
        <v>20</v>
      </c>
      <c r="J245" s="628">
        <v>0</v>
      </c>
      <c r="K245" s="628">
        <v>0</v>
      </c>
      <c r="L245" s="8"/>
      <c r="M245" s="1"/>
      <c r="N245" s="1"/>
      <c r="O245" s="1"/>
      <c r="P245" s="1"/>
      <c r="Q245" s="1"/>
    </row>
    <row r="246" spans="1:17">
      <c r="A246" s="5">
        <v>903</v>
      </c>
      <c r="B246" s="24" t="s">
        <v>411</v>
      </c>
      <c r="C246" s="628">
        <v>2913</v>
      </c>
      <c r="D246" s="663"/>
      <c r="E246" s="625">
        <v>0</v>
      </c>
      <c r="F246" s="625">
        <v>776</v>
      </c>
      <c r="G246" s="626">
        <f t="shared" si="25"/>
        <v>776</v>
      </c>
      <c r="H246" s="629">
        <v>3379</v>
      </c>
      <c r="I246" s="172">
        <v>0</v>
      </c>
      <c r="J246" s="628">
        <v>0</v>
      </c>
      <c r="K246" s="628">
        <v>0</v>
      </c>
      <c r="L246" s="8"/>
      <c r="M246" s="1"/>
      <c r="N246" s="1"/>
      <c r="O246" s="1"/>
      <c r="P246" s="1"/>
      <c r="Q246" s="1"/>
    </row>
    <row r="247" spans="1:17">
      <c r="A247" s="5">
        <v>904</v>
      </c>
      <c r="B247" s="24" t="s">
        <v>412</v>
      </c>
      <c r="C247" s="628">
        <v>2100</v>
      </c>
      <c r="D247" s="663"/>
      <c r="E247" s="625">
        <v>23</v>
      </c>
      <c r="F247" s="625">
        <v>0</v>
      </c>
      <c r="G247" s="626">
        <f t="shared" si="25"/>
        <v>0</v>
      </c>
      <c r="H247" s="629">
        <v>2123</v>
      </c>
      <c r="I247" s="172">
        <v>0</v>
      </c>
      <c r="J247" s="628">
        <v>0</v>
      </c>
      <c r="K247" s="628">
        <v>0</v>
      </c>
      <c r="L247" s="8"/>
      <c r="M247" s="1"/>
      <c r="N247" s="1"/>
      <c r="O247" s="1"/>
      <c r="P247" s="1"/>
      <c r="Q247" s="1"/>
    </row>
    <row r="248" spans="1:17">
      <c r="A248" s="5">
        <v>905</v>
      </c>
      <c r="B248" s="24" t="s">
        <v>413</v>
      </c>
      <c r="C248" s="628">
        <v>1800</v>
      </c>
      <c r="D248" s="663"/>
      <c r="E248" s="625">
        <v>62</v>
      </c>
      <c r="F248" s="625">
        <v>0</v>
      </c>
      <c r="G248" s="626">
        <f t="shared" si="25"/>
        <v>0</v>
      </c>
      <c r="H248" s="629">
        <v>1862</v>
      </c>
      <c r="I248" s="172">
        <v>0</v>
      </c>
      <c r="J248" s="628">
        <v>0</v>
      </c>
      <c r="K248" s="628">
        <v>0</v>
      </c>
      <c r="L248" s="8"/>
      <c r="M248" s="1"/>
      <c r="N248" s="1"/>
      <c r="O248" s="1"/>
      <c r="P248" s="1"/>
      <c r="Q248" s="1"/>
    </row>
    <row r="249" spans="1:17">
      <c r="A249" s="5">
        <v>906</v>
      </c>
      <c r="B249" s="24" t="s">
        <v>414</v>
      </c>
      <c r="C249" s="628">
        <v>1942</v>
      </c>
      <c r="D249" s="663"/>
      <c r="E249" s="625">
        <v>43</v>
      </c>
      <c r="F249" s="625">
        <v>517.29999999999995</v>
      </c>
      <c r="G249" s="630">
        <f t="shared" ref="G249:G272" si="26">F249*1.25</f>
        <v>646.625</v>
      </c>
      <c r="H249" s="629">
        <v>2373</v>
      </c>
      <c r="I249" s="172">
        <v>0</v>
      </c>
      <c r="J249" s="628">
        <v>0</v>
      </c>
      <c r="K249" s="628">
        <v>0</v>
      </c>
      <c r="L249" s="9">
        <v>782</v>
      </c>
      <c r="M249" s="1"/>
      <c r="N249" s="1"/>
      <c r="O249" s="1"/>
      <c r="P249" s="1"/>
      <c r="Q249" s="1"/>
    </row>
    <row r="250" spans="1:17">
      <c r="A250" s="5">
        <v>907</v>
      </c>
      <c r="B250" s="24" t="s">
        <v>415</v>
      </c>
      <c r="C250" s="628">
        <v>1782</v>
      </c>
      <c r="D250" s="663"/>
      <c r="E250" s="625">
        <v>64</v>
      </c>
      <c r="F250" s="625">
        <v>465.3</v>
      </c>
      <c r="G250" s="630">
        <f t="shared" si="26"/>
        <v>581.625</v>
      </c>
      <c r="H250" s="629">
        <v>2195</v>
      </c>
      <c r="I250" s="172">
        <v>0</v>
      </c>
      <c r="J250" s="628">
        <v>0</v>
      </c>
      <c r="K250" s="628">
        <v>0</v>
      </c>
      <c r="L250" s="9">
        <v>782</v>
      </c>
      <c r="M250" s="1"/>
      <c r="N250" s="1"/>
      <c r="O250" s="1"/>
      <c r="P250" s="1"/>
      <c r="Q250" s="1"/>
    </row>
    <row r="251" spans="1:17">
      <c r="A251" s="5">
        <v>908</v>
      </c>
      <c r="B251" s="24" t="s">
        <v>416</v>
      </c>
      <c r="C251" s="628">
        <v>1692</v>
      </c>
      <c r="D251" s="663"/>
      <c r="E251" s="625">
        <v>76</v>
      </c>
      <c r="F251" s="625">
        <v>362.7</v>
      </c>
      <c r="G251" s="630">
        <f t="shared" si="26"/>
        <v>453.375</v>
      </c>
      <c r="H251" s="629">
        <v>2040</v>
      </c>
      <c r="I251" s="172">
        <v>0</v>
      </c>
      <c r="J251" s="628">
        <v>0</v>
      </c>
      <c r="K251" s="628">
        <v>0</v>
      </c>
      <c r="L251" s="8"/>
      <c r="M251" s="1"/>
      <c r="N251" s="1"/>
      <c r="O251" s="1"/>
      <c r="P251" s="1"/>
      <c r="Q251" s="1"/>
    </row>
    <row r="252" spans="1:17">
      <c r="A252" s="5">
        <v>909</v>
      </c>
      <c r="B252" s="24" t="s">
        <v>417</v>
      </c>
      <c r="C252" s="628">
        <v>1592</v>
      </c>
      <c r="D252" s="663"/>
      <c r="E252" s="625">
        <v>89</v>
      </c>
      <c r="F252" s="625">
        <v>465.3</v>
      </c>
      <c r="G252" s="630">
        <f t="shared" si="26"/>
        <v>581.625</v>
      </c>
      <c r="H252" s="629">
        <v>2030</v>
      </c>
      <c r="I252" s="172">
        <v>0</v>
      </c>
      <c r="J252" s="628">
        <v>0</v>
      </c>
      <c r="K252" s="628">
        <v>0</v>
      </c>
      <c r="L252" s="8"/>
      <c r="M252" s="1"/>
      <c r="N252" s="1"/>
      <c r="O252" s="1"/>
      <c r="P252" s="1"/>
      <c r="Q252" s="1"/>
    </row>
    <row r="253" spans="1:17">
      <c r="A253" s="5">
        <v>910</v>
      </c>
      <c r="B253" s="24" t="s">
        <v>286</v>
      </c>
      <c r="C253" s="628">
        <v>1942</v>
      </c>
      <c r="D253" s="663"/>
      <c r="E253" s="625">
        <v>43</v>
      </c>
      <c r="F253" s="625">
        <v>517.29999999999995</v>
      </c>
      <c r="G253" s="630">
        <f t="shared" si="26"/>
        <v>646.625</v>
      </c>
      <c r="H253" s="629">
        <v>2373</v>
      </c>
      <c r="I253" s="172">
        <v>150</v>
      </c>
      <c r="J253" s="628">
        <v>0</v>
      </c>
      <c r="K253" s="628">
        <v>0</v>
      </c>
      <c r="L253" s="8"/>
      <c r="M253" s="1"/>
      <c r="N253" s="1"/>
      <c r="O253" s="1"/>
      <c r="P253" s="1"/>
      <c r="Q253" s="1"/>
    </row>
    <row r="254" spans="1:17">
      <c r="A254" s="5">
        <v>911</v>
      </c>
      <c r="B254" s="24" t="s">
        <v>296</v>
      </c>
      <c r="C254" s="628">
        <v>1592</v>
      </c>
      <c r="D254" s="663"/>
      <c r="E254" s="625">
        <v>89</v>
      </c>
      <c r="F254" s="625">
        <v>466.7</v>
      </c>
      <c r="G254" s="630">
        <f t="shared" si="26"/>
        <v>583.375</v>
      </c>
      <c r="H254" s="629">
        <v>2031</v>
      </c>
      <c r="I254" s="172">
        <v>0</v>
      </c>
      <c r="J254" s="628">
        <v>0</v>
      </c>
      <c r="K254" s="628">
        <v>0</v>
      </c>
      <c r="L254" s="8"/>
      <c r="M254" s="1"/>
      <c r="N254" s="1"/>
      <c r="O254" s="1"/>
      <c r="P254" s="1"/>
      <c r="Q254" s="1"/>
    </row>
    <row r="255" spans="1:17">
      <c r="A255" s="5">
        <v>912</v>
      </c>
      <c r="B255" s="24" t="s">
        <v>418</v>
      </c>
      <c r="C255" s="628">
        <v>1782</v>
      </c>
      <c r="D255" s="663"/>
      <c r="E255" s="625">
        <v>64</v>
      </c>
      <c r="F255" s="625">
        <v>465.3</v>
      </c>
      <c r="G255" s="630">
        <f t="shared" si="26"/>
        <v>581.625</v>
      </c>
      <c r="H255" s="629">
        <v>2195</v>
      </c>
      <c r="I255" s="172">
        <v>17</v>
      </c>
      <c r="J255" s="628">
        <v>0</v>
      </c>
      <c r="K255" s="628">
        <v>0</v>
      </c>
      <c r="L255" s="8"/>
      <c r="M255" s="1"/>
      <c r="N255" s="1"/>
      <c r="O255" s="1"/>
      <c r="P255" s="1"/>
      <c r="Q255" s="1"/>
    </row>
    <row r="256" spans="1:17">
      <c r="A256" s="5">
        <v>913</v>
      </c>
      <c r="B256" s="24" t="s">
        <v>419</v>
      </c>
      <c r="C256" s="628">
        <v>1700</v>
      </c>
      <c r="D256" s="663"/>
      <c r="E256" s="625">
        <v>75</v>
      </c>
      <c r="F256" s="625">
        <v>413.3</v>
      </c>
      <c r="G256" s="630">
        <f t="shared" si="26"/>
        <v>516.625</v>
      </c>
      <c r="H256" s="629">
        <v>2085</v>
      </c>
      <c r="I256" s="172">
        <v>0</v>
      </c>
      <c r="J256" s="628">
        <v>0</v>
      </c>
      <c r="K256" s="628">
        <v>0</v>
      </c>
      <c r="L256" s="9">
        <v>769</v>
      </c>
      <c r="M256" s="1"/>
      <c r="N256" s="1"/>
      <c r="O256" s="1"/>
      <c r="P256" s="1"/>
      <c r="Q256" s="1"/>
    </row>
    <row r="257" spans="1:17">
      <c r="A257" s="5">
        <v>914</v>
      </c>
      <c r="B257" s="24" t="s">
        <v>420</v>
      </c>
      <c r="C257" s="628">
        <v>1600</v>
      </c>
      <c r="D257" s="663"/>
      <c r="E257" s="625">
        <v>88</v>
      </c>
      <c r="F257" s="625">
        <v>309.3</v>
      </c>
      <c r="G257" s="630">
        <f t="shared" si="26"/>
        <v>386.625</v>
      </c>
      <c r="H257" s="629">
        <v>1920</v>
      </c>
      <c r="I257" s="172">
        <v>0</v>
      </c>
      <c r="J257" s="628">
        <v>0</v>
      </c>
      <c r="K257" s="628">
        <v>0</v>
      </c>
      <c r="L257" s="9">
        <v>738</v>
      </c>
      <c r="M257" s="1"/>
      <c r="N257" s="1"/>
      <c r="O257" s="1"/>
      <c r="P257" s="1"/>
      <c r="Q257" s="1"/>
    </row>
    <row r="258" spans="1:17">
      <c r="A258" s="5">
        <v>915</v>
      </c>
      <c r="B258" s="24" t="s">
        <v>421</v>
      </c>
      <c r="C258" s="628">
        <v>1700</v>
      </c>
      <c r="D258" s="663"/>
      <c r="E258" s="625">
        <v>75</v>
      </c>
      <c r="F258" s="625">
        <v>310.7</v>
      </c>
      <c r="G258" s="630">
        <f t="shared" si="26"/>
        <v>388.375</v>
      </c>
      <c r="H258" s="629">
        <v>2008</v>
      </c>
      <c r="I258" s="172">
        <v>150</v>
      </c>
      <c r="J258" s="628">
        <v>0</v>
      </c>
      <c r="K258" s="628">
        <v>0</v>
      </c>
      <c r="L258" s="8"/>
      <c r="M258" s="1"/>
      <c r="N258" s="1"/>
      <c r="O258" s="1"/>
      <c r="P258" s="1"/>
      <c r="Q258" s="1"/>
    </row>
    <row r="259" spans="1:17">
      <c r="A259" s="5">
        <v>916</v>
      </c>
      <c r="B259" s="24" t="s">
        <v>422</v>
      </c>
      <c r="C259" s="628">
        <v>1300</v>
      </c>
      <c r="D259" s="663"/>
      <c r="E259" s="625">
        <v>127</v>
      </c>
      <c r="F259" s="625">
        <v>310.7</v>
      </c>
      <c r="G259" s="630">
        <f t="shared" si="26"/>
        <v>388.375</v>
      </c>
      <c r="H259" s="629">
        <v>1660</v>
      </c>
      <c r="I259" s="172">
        <v>0</v>
      </c>
      <c r="J259" s="628">
        <v>0</v>
      </c>
      <c r="K259" s="628">
        <v>0</v>
      </c>
      <c r="L259" s="8"/>
      <c r="M259" s="1"/>
      <c r="N259" s="1"/>
      <c r="O259" s="1"/>
      <c r="P259" s="1"/>
      <c r="Q259" s="1"/>
    </row>
    <row r="260" spans="1:17">
      <c r="A260" s="5">
        <v>917</v>
      </c>
      <c r="B260" s="24" t="s">
        <v>423</v>
      </c>
      <c r="C260" s="628">
        <v>971</v>
      </c>
      <c r="D260" s="663"/>
      <c r="E260" s="625">
        <v>414.7</v>
      </c>
      <c r="F260" s="625">
        <v>0</v>
      </c>
      <c r="G260" s="626">
        <f t="shared" ref="G260:G271" si="27">F260</f>
        <v>0</v>
      </c>
      <c r="H260" s="629">
        <v>1298</v>
      </c>
      <c r="I260" s="172">
        <v>0</v>
      </c>
      <c r="J260" s="628">
        <v>0</v>
      </c>
      <c r="K260" s="628">
        <v>0</v>
      </c>
      <c r="L260" s="8"/>
      <c r="M260" s="1"/>
      <c r="N260" s="1"/>
      <c r="O260" s="1"/>
      <c r="P260" s="1"/>
      <c r="Q260" s="1"/>
    </row>
    <row r="261" spans="1:17">
      <c r="A261" s="5">
        <v>918</v>
      </c>
      <c r="B261" s="24" t="s">
        <v>304</v>
      </c>
      <c r="C261" s="628">
        <v>971</v>
      </c>
      <c r="D261" s="663"/>
      <c r="E261" s="625">
        <v>414.7</v>
      </c>
      <c r="F261" s="625">
        <v>0</v>
      </c>
      <c r="G261" s="626">
        <f t="shared" si="27"/>
        <v>0</v>
      </c>
      <c r="H261" s="629">
        <v>1298</v>
      </c>
      <c r="I261" s="172">
        <v>150</v>
      </c>
      <c r="J261" s="628">
        <v>0</v>
      </c>
      <c r="K261" s="628">
        <v>0</v>
      </c>
      <c r="L261" s="8"/>
      <c r="M261" s="1"/>
      <c r="N261" s="1"/>
      <c r="O261" s="1"/>
      <c r="P261" s="1"/>
      <c r="Q261" s="1"/>
    </row>
    <row r="262" spans="1:17">
      <c r="A262" s="5">
        <v>919</v>
      </c>
      <c r="B262" s="24" t="s">
        <v>424</v>
      </c>
      <c r="C262" s="628">
        <v>971</v>
      </c>
      <c r="D262" s="663"/>
      <c r="E262" s="625">
        <v>414.7</v>
      </c>
      <c r="F262" s="625">
        <v>0</v>
      </c>
      <c r="G262" s="626">
        <f t="shared" si="27"/>
        <v>0</v>
      </c>
      <c r="H262" s="629">
        <v>1298</v>
      </c>
      <c r="I262" s="172">
        <v>17</v>
      </c>
      <c r="J262" s="628">
        <v>0</v>
      </c>
      <c r="K262" s="628">
        <v>0</v>
      </c>
      <c r="L262" s="8"/>
      <c r="M262" s="1"/>
      <c r="N262" s="1"/>
      <c r="O262" s="1"/>
      <c r="P262" s="1"/>
      <c r="Q262" s="1"/>
    </row>
    <row r="263" spans="1:17">
      <c r="A263" s="5">
        <v>920</v>
      </c>
      <c r="B263" s="24" t="s">
        <v>425</v>
      </c>
      <c r="C263" s="628">
        <v>971</v>
      </c>
      <c r="D263" s="663"/>
      <c r="E263" s="625">
        <v>414.7</v>
      </c>
      <c r="F263" s="625">
        <v>0</v>
      </c>
      <c r="G263" s="626">
        <f t="shared" si="27"/>
        <v>0</v>
      </c>
      <c r="H263" s="629">
        <v>1298</v>
      </c>
      <c r="I263" s="172">
        <v>150</v>
      </c>
      <c r="J263" s="628">
        <v>0</v>
      </c>
      <c r="K263" s="628">
        <v>0</v>
      </c>
      <c r="L263" s="8"/>
      <c r="M263" s="1"/>
      <c r="N263" s="1"/>
      <c r="O263" s="1"/>
      <c r="P263" s="1"/>
      <c r="Q263" s="1"/>
    </row>
    <row r="264" spans="1:17">
      <c r="A264" s="5">
        <v>921</v>
      </c>
      <c r="B264" s="24" t="s">
        <v>426</v>
      </c>
      <c r="C264" s="628">
        <v>971</v>
      </c>
      <c r="D264" s="663"/>
      <c r="E264" s="625">
        <v>414.7</v>
      </c>
      <c r="F264" s="625">
        <v>0</v>
      </c>
      <c r="G264" s="626">
        <f t="shared" si="27"/>
        <v>0</v>
      </c>
      <c r="H264" s="629">
        <v>1298</v>
      </c>
      <c r="I264" s="172">
        <v>0</v>
      </c>
      <c r="J264" s="628">
        <v>0</v>
      </c>
      <c r="K264" s="628">
        <v>0</v>
      </c>
      <c r="L264" s="8"/>
      <c r="M264" s="1"/>
      <c r="N264" s="1"/>
      <c r="O264" s="1"/>
      <c r="P264" s="1"/>
      <c r="Q264" s="1"/>
    </row>
    <row r="265" spans="1:17">
      <c r="A265" s="5">
        <v>922</v>
      </c>
      <c r="B265" s="24" t="s">
        <v>427</v>
      </c>
      <c r="C265" s="628">
        <v>971</v>
      </c>
      <c r="D265" s="663"/>
      <c r="E265" s="625">
        <v>414.7</v>
      </c>
      <c r="F265" s="625">
        <v>0</v>
      </c>
      <c r="G265" s="626">
        <f t="shared" si="27"/>
        <v>0</v>
      </c>
      <c r="H265" s="629">
        <v>1298</v>
      </c>
      <c r="I265" s="172">
        <v>0</v>
      </c>
      <c r="J265" s="628">
        <v>0</v>
      </c>
      <c r="K265" s="628">
        <v>0</v>
      </c>
      <c r="L265" s="8"/>
      <c r="M265" s="1"/>
      <c r="N265" s="1"/>
      <c r="O265" s="1"/>
      <c r="P265" s="1"/>
      <c r="Q265" s="1"/>
    </row>
    <row r="266" spans="1:17">
      <c r="A266" s="5">
        <v>923</v>
      </c>
      <c r="B266" s="24" t="s">
        <v>428</v>
      </c>
      <c r="C266" s="628">
        <v>971</v>
      </c>
      <c r="D266" s="663"/>
      <c r="E266" s="625">
        <v>414.7</v>
      </c>
      <c r="F266" s="625">
        <v>0</v>
      </c>
      <c r="G266" s="626">
        <f t="shared" si="27"/>
        <v>0</v>
      </c>
      <c r="H266" s="629">
        <v>1298</v>
      </c>
      <c r="I266" s="172">
        <v>0</v>
      </c>
      <c r="J266" s="628">
        <v>0</v>
      </c>
      <c r="K266" s="628">
        <v>0</v>
      </c>
      <c r="L266" s="8"/>
      <c r="M266" s="1"/>
      <c r="N266" s="1"/>
      <c r="O266" s="1"/>
      <c r="P266" s="1"/>
      <c r="Q266" s="1"/>
    </row>
    <row r="267" spans="1:17">
      <c r="A267" s="5">
        <v>924</v>
      </c>
      <c r="B267" s="24" t="s">
        <v>429</v>
      </c>
      <c r="C267" s="628">
        <v>971</v>
      </c>
      <c r="D267" s="663"/>
      <c r="E267" s="625">
        <v>414.7</v>
      </c>
      <c r="F267" s="625">
        <v>0</v>
      </c>
      <c r="G267" s="626">
        <f t="shared" si="27"/>
        <v>0</v>
      </c>
      <c r="H267" s="629">
        <v>1298</v>
      </c>
      <c r="I267" s="172">
        <v>150</v>
      </c>
      <c r="J267" s="628">
        <v>0</v>
      </c>
      <c r="K267" s="628">
        <v>0</v>
      </c>
      <c r="L267" s="8"/>
      <c r="M267" s="1"/>
      <c r="N267" s="1"/>
      <c r="O267" s="1"/>
      <c r="P267" s="1"/>
      <c r="Q267" s="1"/>
    </row>
    <row r="268" spans="1:17">
      <c r="A268" s="5">
        <v>925</v>
      </c>
      <c r="B268" s="24" t="s">
        <v>204</v>
      </c>
      <c r="C268" s="628">
        <v>971</v>
      </c>
      <c r="D268" s="663"/>
      <c r="E268" s="625">
        <v>414.7</v>
      </c>
      <c r="F268" s="625">
        <v>0</v>
      </c>
      <c r="G268" s="626">
        <f t="shared" si="27"/>
        <v>0</v>
      </c>
      <c r="H268" s="629">
        <v>1298</v>
      </c>
      <c r="I268" s="172">
        <v>0</v>
      </c>
      <c r="J268" s="628">
        <v>0</v>
      </c>
      <c r="K268" s="628">
        <v>0</v>
      </c>
      <c r="L268" s="8"/>
      <c r="M268" s="1"/>
      <c r="N268" s="1"/>
      <c r="O268" s="1"/>
      <c r="P268" s="1"/>
      <c r="Q268" s="1"/>
    </row>
    <row r="269" spans="1:17">
      <c r="A269" s="5">
        <v>926</v>
      </c>
      <c r="B269" s="24" t="s">
        <v>328</v>
      </c>
      <c r="C269" s="628">
        <v>1500</v>
      </c>
      <c r="D269" s="663"/>
      <c r="E269" s="625">
        <v>101</v>
      </c>
      <c r="F269" s="625">
        <v>0</v>
      </c>
      <c r="G269" s="626">
        <f t="shared" si="27"/>
        <v>0</v>
      </c>
      <c r="H269" s="629">
        <v>1601</v>
      </c>
      <c r="I269" s="172">
        <v>150</v>
      </c>
      <c r="J269" s="628">
        <v>0</v>
      </c>
      <c r="K269" s="628">
        <v>0</v>
      </c>
      <c r="L269" s="8"/>
      <c r="M269" s="1"/>
      <c r="N269" s="1"/>
      <c r="O269" s="1"/>
      <c r="P269" s="1"/>
      <c r="Q269" s="1"/>
    </row>
    <row r="270" spans="1:17">
      <c r="A270" s="5">
        <v>928</v>
      </c>
      <c r="B270" s="24" t="s">
        <v>299</v>
      </c>
      <c r="C270" s="628">
        <v>1500</v>
      </c>
      <c r="D270" s="663"/>
      <c r="E270" s="625">
        <v>101</v>
      </c>
      <c r="F270" s="625">
        <v>0</v>
      </c>
      <c r="G270" s="626">
        <f t="shared" si="27"/>
        <v>0</v>
      </c>
      <c r="H270" s="629">
        <v>1601</v>
      </c>
      <c r="I270" s="172">
        <v>150</v>
      </c>
      <c r="J270" s="628">
        <v>0</v>
      </c>
      <c r="K270" s="628">
        <v>0</v>
      </c>
      <c r="L270" s="8"/>
      <c r="M270" s="1"/>
      <c r="N270" s="1"/>
      <c r="O270" s="1"/>
      <c r="P270" s="1"/>
      <c r="Q270" s="1"/>
    </row>
    <row r="271" spans="1:17">
      <c r="A271" s="5">
        <v>929</v>
      </c>
      <c r="B271" s="24" t="s">
        <v>430</v>
      </c>
      <c r="C271" s="628">
        <v>971</v>
      </c>
      <c r="D271" s="663"/>
      <c r="E271" s="625">
        <v>414.7</v>
      </c>
      <c r="F271" s="625">
        <v>0</v>
      </c>
      <c r="G271" s="626">
        <f t="shared" si="27"/>
        <v>0</v>
      </c>
      <c r="H271" s="629">
        <v>1298</v>
      </c>
      <c r="I271" s="172">
        <v>150</v>
      </c>
      <c r="J271" s="628">
        <v>0</v>
      </c>
      <c r="K271" s="628">
        <v>0</v>
      </c>
      <c r="L271" s="8"/>
      <c r="M271" s="1"/>
      <c r="N271" s="1"/>
      <c r="O271" s="1"/>
      <c r="P271" s="1"/>
      <c r="Q271" s="1"/>
    </row>
    <row r="272" spans="1:17">
      <c r="A272" s="5">
        <v>930</v>
      </c>
      <c r="B272" s="24" t="s">
        <v>431</v>
      </c>
      <c r="C272" s="628">
        <v>1592</v>
      </c>
      <c r="D272" s="663"/>
      <c r="E272" s="625">
        <v>89</v>
      </c>
      <c r="F272" s="625">
        <v>310.7</v>
      </c>
      <c r="G272" s="630">
        <f t="shared" si="26"/>
        <v>388.375</v>
      </c>
      <c r="H272" s="629">
        <v>1914</v>
      </c>
      <c r="I272" s="172">
        <v>0</v>
      </c>
      <c r="J272" s="628">
        <v>0</v>
      </c>
      <c r="K272" s="628">
        <v>0</v>
      </c>
      <c r="L272" s="8"/>
      <c r="M272" s="1"/>
      <c r="N272" s="1"/>
      <c r="O272" s="1"/>
      <c r="P272" s="1"/>
      <c r="Q272" s="1"/>
    </row>
    <row r="273" spans="1:17">
      <c r="A273" s="5">
        <v>931</v>
      </c>
      <c r="B273" s="24" t="s">
        <v>432</v>
      </c>
      <c r="C273" s="628">
        <v>971</v>
      </c>
      <c r="D273" s="663"/>
      <c r="E273" s="625">
        <v>414.7</v>
      </c>
      <c r="F273" s="625">
        <v>0</v>
      </c>
      <c r="G273" s="626">
        <f t="shared" ref="G273:G283" si="28">F273</f>
        <v>0</v>
      </c>
      <c r="H273" s="629">
        <v>1298</v>
      </c>
      <c r="I273" s="172">
        <v>0</v>
      </c>
      <c r="J273" s="628">
        <v>0</v>
      </c>
      <c r="K273" s="628">
        <v>0</v>
      </c>
      <c r="L273" s="8"/>
      <c r="M273" s="1"/>
      <c r="N273" s="1"/>
      <c r="O273" s="1"/>
      <c r="P273" s="1"/>
      <c r="Q273" s="1"/>
    </row>
    <row r="274" spans="1:17">
      <c r="A274" s="5">
        <v>932</v>
      </c>
      <c r="B274" s="24" t="s">
        <v>152</v>
      </c>
      <c r="C274" s="628">
        <v>2220</v>
      </c>
      <c r="D274" s="663"/>
      <c r="E274" s="625">
        <v>7</v>
      </c>
      <c r="F274" s="625">
        <v>521.4</v>
      </c>
      <c r="G274" s="626">
        <f t="shared" si="28"/>
        <v>521.4</v>
      </c>
      <c r="H274" s="629">
        <v>2748.4</v>
      </c>
      <c r="I274" s="172">
        <v>0</v>
      </c>
      <c r="J274" s="628">
        <v>0</v>
      </c>
      <c r="K274" s="628">
        <v>0</v>
      </c>
      <c r="L274" s="8"/>
      <c r="M274" s="1"/>
      <c r="N274" s="1"/>
      <c r="O274" s="1"/>
      <c r="P274" s="1"/>
      <c r="Q274" s="1"/>
    </row>
    <row r="275" spans="1:17">
      <c r="A275" s="6">
        <v>933</v>
      </c>
      <c r="B275" s="39" t="s">
        <v>153</v>
      </c>
      <c r="C275" s="637">
        <v>1580</v>
      </c>
      <c r="D275" s="663"/>
      <c r="E275" s="625">
        <v>90</v>
      </c>
      <c r="F275" s="625">
        <v>347.6</v>
      </c>
      <c r="G275" s="626">
        <f t="shared" si="28"/>
        <v>347.6</v>
      </c>
      <c r="H275" s="629">
        <v>2017.6</v>
      </c>
      <c r="I275" s="173">
        <v>0</v>
      </c>
      <c r="J275" s="637">
        <v>0</v>
      </c>
      <c r="K275" s="637">
        <v>0</v>
      </c>
      <c r="L275" s="8"/>
      <c r="M275" s="1"/>
      <c r="N275" s="1"/>
      <c r="O275" s="1"/>
      <c r="P275" s="1"/>
      <c r="Q275" s="1"/>
    </row>
    <row r="276" spans="1:17">
      <c r="A276" s="5">
        <v>934</v>
      </c>
      <c r="B276" s="24" t="s">
        <v>433</v>
      </c>
      <c r="C276" s="628">
        <v>922</v>
      </c>
      <c r="D276" s="663"/>
      <c r="E276" s="625">
        <v>414.7</v>
      </c>
      <c r="F276" s="625">
        <v>0</v>
      </c>
      <c r="G276" s="626">
        <f t="shared" si="28"/>
        <v>0</v>
      </c>
      <c r="H276" s="629">
        <v>1249</v>
      </c>
      <c r="I276" s="172">
        <v>0</v>
      </c>
      <c r="J276" s="628">
        <v>0</v>
      </c>
      <c r="K276" s="628">
        <v>0</v>
      </c>
      <c r="L276" s="8"/>
      <c r="M276" s="1"/>
      <c r="N276" s="1"/>
      <c r="O276" s="1"/>
      <c r="P276" s="1"/>
      <c r="Q276" s="1"/>
    </row>
    <row r="277" spans="1:17">
      <c r="A277" s="5">
        <v>935</v>
      </c>
      <c r="B277" s="24" t="s">
        <v>434</v>
      </c>
      <c r="C277" s="628">
        <v>971</v>
      </c>
      <c r="D277" s="663"/>
      <c r="E277" s="625">
        <v>414.7</v>
      </c>
      <c r="F277" s="625">
        <v>0</v>
      </c>
      <c r="G277" s="626">
        <f t="shared" si="28"/>
        <v>0</v>
      </c>
      <c r="H277" s="629">
        <v>1298</v>
      </c>
      <c r="I277" s="172">
        <v>0</v>
      </c>
      <c r="J277" s="628">
        <v>0</v>
      </c>
      <c r="K277" s="628">
        <v>0</v>
      </c>
      <c r="L277" s="8"/>
      <c r="M277" s="1"/>
      <c r="N277" s="1"/>
      <c r="O277" s="1"/>
      <c r="P277" s="1"/>
      <c r="Q277" s="1"/>
    </row>
    <row r="278" spans="1:17">
      <c r="A278" s="5">
        <v>936</v>
      </c>
      <c r="B278" s="24" t="s">
        <v>435</v>
      </c>
      <c r="C278" s="628">
        <v>1250</v>
      </c>
      <c r="D278" s="663"/>
      <c r="E278" s="625">
        <v>134</v>
      </c>
      <c r="F278" s="625">
        <v>0</v>
      </c>
      <c r="G278" s="626">
        <f t="shared" si="28"/>
        <v>0</v>
      </c>
      <c r="H278" s="629">
        <v>1384</v>
      </c>
      <c r="I278" s="172">
        <v>0</v>
      </c>
      <c r="J278" s="628">
        <v>0</v>
      </c>
      <c r="K278" s="628">
        <v>0</v>
      </c>
      <c r="L278" s="8"/>
      <c r="M278" s="1"/>
      <c r="N278" s="1"/>
      <c r="O278" s="1"/>
      <c r="P278" s="1"/>
      <c r="Q278" s="1"/>
    </row>
    <row r="279" spans="1:17">
      <c r="A279" s="32">
        <v>937</v>
      </c>
      <c r="B279" s="33" t="s">
        <v>436</v>
      </c>
      <c r="C279" s="634">
        <v>971</v>
      </c>
      <c r="D279" s="665"/>
      <c r="E279" s="625">
        <v>414.7</v>
      </c>
      <c r="F279" s="625">
        <v>0</v>
      </c>
      <c r="G279" s="626">
        <f t="shared" si="28"/>
        <v>0</v>
      </c>
      <c r="H279" s="629">
        <v>1298</v>
      </c>
      <c r="I279" s="633">
        <v>0</v>
      </c>
      <c r="J279" s="634">
        <v>0</v>
      </c>
      <c r="K279" s="634">
        <v>0</v>
      </c>
      <c r="L279" s="8"/>
      <c r="M279" s="1"/>
      <c r="N279" s="1"/>
      <c r="O279" s="1"/>
      <c r="P279" s="1"/>
      <c r="Q279" s="1"/>
    </row>
    <row r="280" spans="1:17">
      <c r="A280" s="5">
        <v>940</v>
      </c>
      <c r="B280" s="24" t="s">
        <v>437</v>
      </c>
      <c r="C280" s="628">
        <v>1692</v>
      </c>
      <c r="D280" s="663"/>
      <c r="E280" s="625">
        <v>76</v>
      </c>
      <c r="F280" s="625">
        <v>362.7</v>
      </c>
      <c r="G280" s="626">
        <f t="shared" si="28"/>
        <v>362.7</v>
      </c>
      <c r="H280" s="629">
        <v>2040</v>
      </c>
      <c r="I280" s="172">
        <v>0</v>
      </c>
      <c r="J280" s="628">
        <v>0</v>
      </c>
      <c r="K280" s="628">
        <v>0</v>
      </c>
      <c r="L280" s="8"/>
      <c r="M280" s="1"/>
      <c r="N280" s="1"/>
      <c r="O280" s="1"/>
      <c r="P280" s="1"/>
      <c r="Q280" s="1"/>
    </row>
    <row r="281" spans="1:17">
      <c r="A281" s="5">
        <v>941</v>
      </c>
      <c r="B281" s="24" t="s">
        <v>438</v>
      </c>
      <c r="C281" s="628">
        <v>1942</v>
      </c>
      <c r="D281" s="663"/>
      <c r="E281" s="625">
        <v>43</v>
      </c>
      <c r="F281" s="625">
        <v>517.29999999999995</v>
      </c>
      <c r="G281" s="626">
        <f t="shared" si="28"/>
        <v>517.29999999999995</v>
      </c>
      <c r="H281" s="629">
        <v>2373</v>
      </c>
      <c r="I281" s="172">
        <v>0</v>
      </c>
      <c r="J281" s="628">
        <v>0</v>
      </c>
      <c r="K281" s="628">
        <v>0</v>
      </c>
      <c r="L281" s="8"/>
      <c r="M281" s="1"/>
      <c r="N281" s="1"/>
      <c r="O281" s="1"/>
      <c r="P281" s="1"/>
      <c r="Q281" s="1"/>
    </row>
    <row r="282" spans="1:17">
      <c r="A282" s="5">
        <v>942</v>
      </c>
      <c r="B282" s="24" t="s">
        <v>439</v>
      </c>
      <c r="C282" s="628">
        <v>1782</v>
      </c>
      <c r="D282" s="663"/>
      <c r="E282" s="625">
        <v>64</v>
      </c>
      <c r="F282" s="625">
        <v>465.3</v>
      </c>
      <c r="G282" s="626">
        <f t="shared" si="28"/>
        <v>465.3</v>
      </c>
      <c r="H282" s="629">
        <v>2195</v>
      </c>
      <c r="I282" s="172">
        <v>0</v>
      </c>
      <c r="J282" s="628">
        <v>0</v>
      </c>
      <c r="K282" s="628">
        <v>0</v>
      </c>
      <c r="L282" s="8"/>
      <c r="M282" s="1"/>
      <c r="N282" s="1"/>
      <c r="O282" s="1"/>
      <c r="P282" s="1"/>
      <c r="Q282" s="1"/>
    </row>
    <row r="283" spans="1:17">
      <c r="A283" s="5">
        <v>943</v>
      </c>
      <c r="B283" s="24" t="s">
        <v>327</v>
      </c>
      <c r="C283" s="628">
        <v>1500</v>
      </c>
      <c r="D283" s="663"/>
      <c r="E283" s="625">
        <v>101</v>
      </c>
      <c r="F283" s="625">
        <v>0</v>
      </c>
      <c r="G283" s="626">
        <f t="shared" si="28"/>
        <v>0</v>
      </c>
      <c r="H283" s="629">
        <v>1601</v>
      </c>
      <c r="I283" s="172">
        <v>150</v>
      </c>
      <c r="J283" s="628">
        <v>0</v>
      </c>
      <c r="K283" s="628">
        <v>0</v>
      </c>
      <c r="L283" s="8"/>
      <c r="M283" s="1"/>
      <c r="N283" s="1"/>
      <c r="O283" s="1"/>
      <c r="P283" s="1"/>
      <c r="Q283" s="1"/>
    </row>
    <row r="284" spans="1:17">
      <c r="A284" s="5">
        <v>944</v>
      </c>
      <c r="B284" s="24" t="s">
        <v>440</v>
      </c>
      <c r="C284" s="628">
        <v>1400</v>
      </c>
      <c r="D284" s="663"/>
      <c r="E284" s="625">
        <v>114</v>
      </c>
      <c r="F284" s="625">
        <v>310.7</v>
      </c>
      <c r="G284" s="630">
        <f t="shared" ref="G284:G298" si="29">F284*1.25</f>
        <v>388.375</v>
      </c>
      <c r="H284" s="629">
        <v>1747</v>
      </c>
      <c r="I284" s="172">
        <v>0</v>
      </c>
      <c r="J284" s="628">
        <v>0</v>
      </c>
      <c r="K284" s="628">
        <v>0</v>
      </c>
      <c r="L284" s="8"/>
      <c r="M284" s="1"/>
      <c r="N284" s="1"/>
      <c r="O284" s="1"/>
      <c r="P284" s="1"/>
      <c r="Q284" s="1"/>
    </row>
    <row r="285" spans="1:17">
      <c r="A285" s="5">
        <v>945</v>
      </c>
      <c r="B285" s="24" t="s">
        <v>441</v>
      </c>
      <c r="C285" s="628">
        <v>1782</v>
      </c>
      <c r="D285" s="663"/>
      <c r="E285" s="625">
        <v>64</v>
      </c>
      <c r="F285" s="625">
        <v>310.7</v>
      </c>
      <c r="G285" s="630">
        <f t="shared" si="29"/>
        <v>388.375</v>
      </c>
      <c r="H285" s="629">
        <v>2079</v>
      </c>
      <c r="I285" s="172">
        <v>0</v>
      </c>
      <c r="J285" s="628">
        <v>0</v>
      </c>
      <c r="K285" s="628">
        <v>669</v>
      </c>
      <c r="L285" s="8"/>
      <c r="M285" s="1"/>
      <c r="N285" s="1"/>
      <c r="O285" s="1"/>
      <c r="P285" s="1"/>
      <c r="Q285" s="1"/>
    </row>
    <row r="286" spans="1:17">
      <c r="A286" s="5">
        <v>946</v>
      </c>
      <c r="B286" s="24" t="s">
        <v>369</v>
      </c>
      <c r="C286" s="628">
        <v>971</v>
      </c>
      <c r="D286" s="663"/>
      <c r="E286" s="625">
        <v>214</v>
      </c>
      <c r="F286" s="625">
        <v>0</v>
      </c>
      <c r="G286" s="626">
        <f t="shared" ref="G286:G287" si="30">F286</f>
        <v>0</v>
      </c>
      <c r="H286" s="629">
        <v>1185</v>
      </c>
      <c r="I286" s="172">
        <v>0</v>
      </c>
      <c r="J286" s="628">
        <v>0</v>
      </c>
      <c r="K286" s="628">
        <v>620</v>
      </c>
      <c r="L286" s="8"/>
      <c r="M286" s="1"/>
      <c r="N286" s="1"/>
      <c r="O286" s="1"/>
      <c r="P286" s="1"/>
      <c r="Q286" s="1"/>
    </row>
    <row r="287" spans="1:17">
      <c r="A287" s="5">
        <v>947</v>
      </c>
      <c r="B287" s="24" t="s">
        <v>442</v>
      </c>
      <c r="C287" s="628">
        <v>971</v>
      </c>
      <c r="D287" s="663"/>
      <c r="E287" s="625">
        <v>414.7</v>
      </c>
      <c r="F287" s="625">
        <v>0</v>
      </c>
      <c r="G287" s="626">
        <f t="shared" si="30"/>
        <v>0</v>
      </c>
      <c r="H287" s="629">
        <v>1298</v>
      </c>
      <c r="I287" s="172">
        <v>0</v>
      </c>
      <c r="J287" s="628">
        <v>0</v>
      </c>
      <c r="K287" s="628">
        <v>155</v>
      </c>
      <c r="L287" s="8"/>
      <c r="M287" s="1"/>
      <c r="N287" s="1"/>
      <c r="O287" s="1"/>
      <c r="P287" s="1"/>
      <c r="Q287" s="1"/>
    </row>
    <row r="288" spans="1:17">
      <c r="A288" s="5">
        <v>948</v>
      </c>
      <c r="B288" s="27" t="s">
        <v>443</v>
      </c>
      <c r="C288" s="628">
        <v>1300</v>
      </c>
      <c r="D288" s="663"/>
      <c r="E288" s="625">
        <v>127</v>
      </c>
      <c r="F288" s="625">
        <v>310.7</v>
      </c>
      <c r="G288" s="630">
        <f t="shared" si="29"/>
        <v>388.375</v>
      </c>
      <c r="H288" s="629">
        <v>1660</v>
      </c>
      <c r="I288" s="172">
        <v>0</v>
      </c>
      <c r="J288" s="628">
        <v>0</v>
      </c>
      <c r="K288" s="628">
        <v>657</v>
      </c>
      <c r="L288" s="8"/>
      <c r="M288" s="1"/>
      <c r="N288" s="1"/>
      <c r="O288" s="1"/>
      <c r="P288" s="1"/>
      <c r="Q288" s="1"/>
    </row>
    <row r="289" spans="1:17">
      <c r="A289" s="5">
        <v>951</v>
      </c>
      <c r="B289" s="24" t="s">
        <v>444</v>
      </c>
      <c r="C289" s="628">
        <v>1500</v>
      </c>
      <c r="D289" s="663"/>
      <c r="E289" s="625">
        <v>101</v>
      </c>
      <c r="F289" s="625">
        <v>0</v>
      </c>
      <c r="G289" s="626">
        <f t="shared" ref="G289:G291" si="31">F289</f>
        <v>0</v>
      </c>
      <c r="H289" s="629">
        <v>1601</v>
      </c>
      <c r="I289" s="172">
        <v>150</v>
      </c>
      <c r="J289" s="628">
        <v>0</v>
      </c>
      <c r="K289" s="628">
        <v>0</v>
      </c>
      <c r="L289" s="8"/>
      <c r="M289" s="1"/>
      <c r="N289" s="1"/>
      <c r="O289" s="1"/>
      <c r="P289" s="1"/>
      <c r="Q289" s="1"/>
    </row>
    <row r="290" spans="1:17">
      <c r="A290" s="5">
        <v>952</v>
      </c>
      <c r="B290" s="24" t="s">
        <v>445</v>
      </c>
      <c r="C290" s="628">
        <v>971</v>
      </c>
      <c r="D290" s="663"/>
      <c r="E290" s="625">
        <v>414.7</v>
      </c>
      <c r="F290" s="625">
        <v>0</v>
      </c>
      <c r="G290" s="626">
        <f t="shared" si="31"/>
        <v>0</v>
      </c>
      <c r="H290" s="629">
        <v>1298</v>
      </c>
      <c r="I290" s="172">
        <v>0</v>
      </c>
      <c r="J290" s="628">
        <v>0</v>
      </c>
      <c r="K290" s="628">
        <v>155</v>
      </c>
      <c r="L290" s="8"/>
      <c r="M290" s="1"/>
      <c r="N290" s="1"/>
      <c r="O290" s="1"/>
      <c r="P290" s="1"/>
      <c r="Q290" s="1"/>
    </row>
    <row r="291" spans="1:17">
      <c r="A291" s="5">
        <v>953</v>
      </c>
      <c r="B291" s="24" t="s">
        <v>446</v>
      </c>
      <c r="C291" s="628">
        <v>971</v>
      </c>
      <c r="D291" s="663"/>
      <c r="E291" s="625">
        <v>414.7</v>
      </c>
      <c r="F291" s="625">
        <v>0</v>
      </c>
      <c r="G291" s="626">
        <f t="shared" si="31"/>
        <v>0</v>
      </c>
      <c r="H291" s="629">
        <v>1298</v>
      </c>
      <c r="I291" s="172">
        <v>0</v>
      </c>
      <c r="J291" s="628">
        <v>0</v>
      </c>
      <c r="K291" s="628">
        <v>155</v>
      </c>
      <c r="L291" s="8"/>
      <c r="M291" s="1"/>
      <c r="N291" s="1"/>
      <c r="O291" s="1"/>
      <c r="P291" s="1"/>
      <c r="Q291" s="1"/>
    </row>
    <row r="292" spans="1:17">
      <c r="A292" s="5">
        <v>954</v>
      </c>
      <c r="B292" s="24" t="s">
        <v>447</v>
      </c>
      <c r="C292" s="628">
        <v>1600</v>
      </c>
      <c r="D292" s="663"/>
      <c r="E292" s="625">
        <v>88</v>
      </c>
      <c r="F292" s="625">
        <v>310.7</v>
      </c>
      <c r="G292" s="630">
        <f t="shared" si="29"/>
        <v>388.375</v>
      </c>
      <c r="H292" s="629">
        <v>1921</v>
      </c>
      <c r="I292" s="172">
        <v>0</v>
      </c>
      <c r="J292" s="628">
        <v>0</v>
      </c>
      <c r="K292" s="628">
        <v>657</v>
      </c>
      <c r="L292" s="8"/>
      <c r="M292" s="1"/>
      <c r="N292" s="1"/>
      <c r="O292" s="1"/>
      <c r="P292" s="1"/>
      <c r="Q292" s="1"/>
    </row>
    <row r="293" spans="1:17">
      <c r="A293" s="5">
        <v>955</v>
      </c>
      <c r="B293" s="24" t="s">
        <v>350</v>
      </c>
      <c r="C293" s="628">
        <v>971</v>
      </c>
      <c r="D293" s="663"/>
      <c r="E293" s="625">
        <v>414.7</v>
      </c>
      <c r="F293" s="625">
        <v>0</v>
      </c>
      <c r="G293" s="626">
        <f>F293</f>
        <v>0</v>
      </c>
      <c r="H293" s="629">
        <v>1298</v>
      </c>
      <c r="I293" s="172">
        <v>0</v>
      </c>
      <c r="J293" s="628">
        <v>0</v>
      </c>
      <c r="K293" s="628">
        <v>0</v>
      </c>
      <c r="L293" s="8"/>
      <c r="M293" s="1"/>
      <c r="N293" s="1"/>
      <c r="O293" s="1"/>
      <c r="P293" s="1"/>
      <c r="Q293" s="1"/>
    </row>
    <row r="294" spans="1:17">
      <c r="A294" s="5">
        <v>956</v>
      </c>
      <c r="B294" s="24" t="s">
        <v>448</v>
      </c>
      <c r="C294" s="628">
        <v>1692</v>
      </c>
      <c r="D294" s="663"/>
      <c r="E294" s="625">
        <v>76</v>
      </c>
      <c r="F294" s="625">
        <v>362.7</v>
      </c>
      <c r="G294" s="630">
        <f t="shared" si="29"/>
        <v>453.375</v>
      </c>
      <c r="H294" s="629">
        <v>2040</v>
      </c>
      <c r="I294" s="172">
        <v>0</v>
      </c>
      <c r="J294" s="628">
        <v>0</v>
      </c>
      <c r="K294" s="628">
        <v>663</v>
      </c>
      <c r="L294" s="8"/>
      <c r="M294" s="1"/>
      <c r="N294" s="1"/>
      <c r="O294" s="1"/>
      <c r="P294" s="1"/>
      <c r="Q294" s="1"/>
    </row>
    <row r="295" spans="1:17">
      <c r="A295" s="5">
        <v>957</v>
      </c>
      <c r="B295" s="24" t="s">
        <v>449</v>
      </c>
      <c r="C295" s="628">
        <v>1700</v>
      </c>
      <c r="D295" s="663"/>
      <c r="E295" s="625">
        <v>75</v>
      </c>
      <c r="F295" s="625">
        <v>413.3</v>
      </c>
      <c r="G295" s="630">
        <f t="shared" si="29"/>
        <v>516.625</v>
      </c>
      <c r="H295" s="629">
        <v>2085</v>
      </c>
      <c r="I295" s="172">
        <v>0</v>
      </c>
      <c r="J295" s="628">
        <v>0</v>
      </c>
      <c r="K295" s="628">
        <v>0</v>
      </c>
      <c r="L295" s="8"/>
      <c r="M295" s="1"/>
      <c r="N295" s="1"/>
      <c r="O295" s="1"/>
      <c r="P295" s="1"/>
      <c r="Q295" s="1"/>
    </row>
    <row r="296" spans="1:17">
      <c r="A296" s="5">
        <v>958</v>
      </c>
      <c r="B296" s="24" t="s">
        <v>450</v>
      </c>
      <c r="C296" s="628">
        <v>2913</v>
      </c>
      <c r="D296" s="663"/>
      <c r="E296" s="625">
        <v>0</v>
      </c>
      <c r="F296" s="625">
        <v>0</v>
      </c>
      <c r="G296" s="630">
        <f t="shared" si="29"/>
        <v>0</v>
      </c>
      <c r="H296" s="629">
        <v>2913</v>
      </c>
      <c r="I296" s="172">
        <v>0</v>
      </c>
      <c r="J296" s="628">
        <v>0</v>
      </c>
      <c r="K296" s="628">
        <v>0</v>
      </c>
      <c r="L296" s="8"/>
      <c r="M296" s="1"/>
      <c r="N296" s="1"/>
      <c r="O296" s="1"/>
      <c r="P296" s="1"/>
      <c r="Q296" s="1"/>
    </row>
    <row r="297" spans="1:17">
      <c r="A297" s="5">
        <v>959</v>
      </c>
      <c r="B297" s="24" t="s">
        <v>451</v>
      </c>
      <c r="C297" s="628">
        <v>1942</v>
      </c>
      <c r="D297" s="663"/>
      <c r="E297" s="625">
        <v>43</v>
      </c>
      <c r="F297" s="625">
        <v>388</v>
      </c>
      <c r="G297" s="630">
        <f t="shared" si="29"/>
        <v>485</v>
      </c>
      <c r="H297" s="629">
        <v>2373</v>
      </c>
      <c r="I297" s="172">
        <v>0</v>
      </c>
      <c r="J297" s="628">
        <v>0</v>
      </c>
      <c r="K297" s="628">
        <v>0</v>
      </c>
      <c r="L297" s="8"/>
      <c r="M297" s="1"/>
      <c r="N297" s="1"/>
      <c r="O297" s="1"/>
      <c r="P297" s="1"/>
      <c r="Q297" s="1"/>
    </row>
    <row r="298" spans="1:17">
      <c r="A298" s="5">
        <v>960</v>
      </c>
      <c r="B298" s="24" t="s">
        <v>452</v>
      </c>
      <c r="C298" s="628">
        <v>1600</v>
      </c>
      <c r="D298" s="663"/>
      <c r="E298" s="625">
        <v>68</v>
      </c>
      <c r="F298" s="625">
        <v>233</v>
      </c>
      <c r="G298" s="630">
        <f t="shared" si="29"/>
        <v>291.25</v>
      </c>
      <c r="H298" s="629">
        <v>1901</v>
      </c>
      <c r="I298" s="172">
        <v>0</v>
      </c>
      <c r="J298" s="628">
        <v>0</v>
      </c>
      <c r="K298" s="628">
        <v>0</v>
      </c>
      <c r="L298" s="8"/>
      <c r="M298" s="1"/>
      <c r="N298" s="1"/>
      <c r="O298" s="1"/>
      <c r="P298" s="1"/>
      <c r="Q298" s="1"/>
    </row>
    <row r="299" spans="1:17">
      <c r="A299" s="5">
        <v>961</v>
      </c>
      <c r="B299" s="24" t="s">
        <v>453</v>
      </c>
      <c r="C299" s="628">
        <v>1580</v>
      </c>
      <c r="D299" s="663"/>
      <c r="E299" s="625">
        <v>90</v>
      </c>
      <c r="F299" s="625">
        <v>347.6</v>
      </c>
      <c r="G299" s="626">
        <f t="shared" ref="G299:G304" si="32">F299</f>
        <v>347.6</v>
      </c>
      <c r="H299" s="629">
        <v>2017.6</v>
      </c>
      <c r="I299" s="172">
        <v>0</v>
      </c>
      <c r="J299" s="628">
        <v>0</v>
      </c>
      <c r="K299" s="628">
        <v>0</v>
      </c>
      <c r="L299" s="8"/>
      <c r="M299" s="1"/>
      <c r="N299" s="1"/>
      <c r="O299" s="1"/>
      <c r="P299" s="1"/>
      <c r="Q299" s="1"/>
    </row>
    <row r="300" spans="1:17">
      <c r="A300" s="5">
        <v>962</v>
      </c>
      <c r="B300" s="24" t="s">
        <v>454</v>
      </c>
      <c r="C300" s="628">
        <v>1580</v>
      </c>
      <c r="D300" s="663"/>
      <c r="E300" s="625">
        <v>90</v>
      </c>
      <c r="F300" s="625">
        <v>0</v>
      </c>
      <c r="G300" s="626">
        <f t="shared" si="32"/>
        <v>0</v>
      </c>
      <c r="H300" s="629">
        <v>1670</v>
      </c>
      <c r="I300" s="172">
        <v>0</v>
      </c>
      <c r="J300" s="628">
        <v>0</v>
      </c>
      <c r="K300" s="628">
        <v>0</v>
      </c>
      <c r="L300" s="8"/>
      <c r="M300" s="1"/>
      <c r="N300" s="1"/>
      <c r="O300" s="1"/>
      <c r="P300" s="1"/>
      <c r="Q300" s="1"/>
    </row>
    <row r="301" spans="1:17">
      <c r="A301" s="5">
        <v>963</v>
      </c>
      <c r="B301" s="24" t="s">
        <v>455</v>
      </c>
      <c r="C301" s="628">
        <v>951</v>
      </c>
      <c r="D301" s="663"/>
      <c r="E301" s="625">
        <v>414.7</v>
      </c>
      <c r="F301" s="625">
        <v>0</v>
      </c>
      <c r="G301" s="626">
        <f t="shared" si="32"/>
        <v>0</v>
      </c>
      <c r="H301" s="629">
        <v>1278</v>
      </c>
      <c r="I301" s="172">
        <v>0</v>
      </c>
      <c r="J301" s="628">
        <v>0</v>
      </c>
      <c r="K301" s="628">
        <v>0</v>
      </c>
      <c r="L301" s="8"/>
      <c r="M301" s="1"/>
      <c r="N301" s="1"/>
      <c r="O301" s="1"/>
      <c r="P301" s="1"/>
      <c r="Q301" s="1"/>
    </row>
    <row r="302" spans="1:17">
      <c r="A302" s="5">
        <v>965</v>
      </c>
      <c r="B302" s="24" t="s">
        <v>456</v>
      </c>
      <c r="C302" s="628">
        <v>2913</v>
      </c>
      <c r="D302" s="663"/>
      <c r="E302" s="625">
        <v>0</v>
      </c>
      <c r="F302" s="625">
        <v>0</v>
      </c>
      <c r="G302" s="626">
        <f t="shared" si="32"/>
        <v>0</v>
      </c>
      <c r="H302" s="629">
        <v>2913</v>
      </c>
      <c r="I302" s="172">
        <v>0</v>
      </c>
      <c r="J302" s="628">
        <v>0</v>
      </c>
      <c r="K302" s="628">
        <v>0</v>
      </c>
      <c r="L302" s="8"/>
      <c r="M302" s="1"/>
      <c r="N302" s="1"/>
      <c r="O302" s="1"/>
      <c r="P302" s="1"/>
      <c r="Q302" s="1"/>
    </row>
    <row r="303" spans="1:17">
      <c r="A303" s="5">
        <v>966</v>
      </c>
      <c r="B303" s="24" t="s">
        <v>457</v>
      </c>
      <c r="C303" s="628">
        <v>1850</v>
      </c>
      <c r="D303" s="663"/>
      <c r="E303" s="625">
        <v>55</v>
      </c>
      <c r="F303" s="625">
        <v>434.5</v>
      </c>
      <c r="G303" s="626">
        <f t="shared" si="32"/>
        <v>434.5</v>
      </c>
      <c r="H303" s="629">
        <v>2339.5</v>
      </c>
      <c r="I303" s="172">
        <v>0</v>
      </c>
      <c r="J303" s="628">
        <v>0</v>
      </c>
      <c r="K303" s="628">
        <v>0</v>
      </c>
      <c r="L303" s="8"/>
      <c r="M303" s="1"/>
      <c r="N303" s="1"/>
      <c r="O303" s="1"/>
      <c r="P303" s="1"/>
      <c r="Q303" s="1"/>
    </row>
    <row r="304" spans="1:17">
      <c r="A304" s="5">
        <v>967</v>
      </c>
      <c r="B304" s="24" t="s">
        <v>458</v>
      </c>
      <c r="C304" s="628">
        <v>1564</v>
      </c>
      <c r="D304" s="663"/>
      <c r="E304" s="625">
        <v>93</v>
      </c>
      <c r="F304" s="625">
        <v>0</v>
      </c>
      <c r="G304" s="626">
        <f t="shared" si="32"/>
        <v>0</v>
      </c>
      <c r="H304" s="629">
        <v>1657</v>
      </c>
      <c r="I304" s="172">
        <v>0</v>
      </c>
      <c r="J304" s="628">
        <v>0</v>
      </c>
      <c r="K304" s="628">
        <v>0</v>
      </c>
      <c r="L304" s="8"/>
      <c r="M304" s="1"/>
      <c r="N304" s="1"/>
      <c r="O304" s="1"/>
      <c r="P304" s="1"/>
      <c r="Q304" s="1"/>
    </row>
    <row r="305" spans="1:17">
      <c r="A305" s="5">
        <v>968</v>
      </c>
      <c r="B305" s="24" t="s">
        <v>397</v>
      </c>
      <c r="C305" s="628">
        <v>1500</v>
      </c>
      <c r="D305" s="663"/>
      <c r="E305" s="625">
        <v>101</v>
      </c>
      <c r="F305" s="625">
        <v>517.29999999999995</v>
      </c>
      <c r="G305" s="630">
        <f t="shared" ref="G305" si="33">F305*1.25</f>
        <v>646.625</v>
      </c>
      <c r="H305" s="629">
        <v>1989</v>
      </c>
      <c r="I305" s="172">
        <v>0</v>
      </c>
      <c r="J305" s="628">
        <v>0</v>
      </c>
      <c r="K305" s="628">
        <v>0</v>
      </c>
      <c r="L305" s="8"/>
      <c r="M305" s="1"/>
      <c r="N305" s="1"/>
      <c r="O305" s="1"/>
      <c r="P305" s="1"/>
      <c r="Q305" s="1"/>
    </row>
    <row r="306" spans="1:17">
      <c r="A306" s="5">
        <v>969</v>
      </c>
      <c r="B306" s="24" t="s">
        <v>459</v>
      </c>
      <c r="C306" s="628">
        <v>971</v>
      </c>
      <c r="D306" s="663"/>
      <c r="E306" s="625">
        <v>414.7</v>
      </c>
      <c r="F306" s="625">
        <v>0</v>
      </c>
      <c r="G306" s="626">
        <f t="shared" ref="G306:G307" si="34">F306</f>
        <v>0</v>
      </c>
      <c r="H306" s="629">
        <v>1298</v>
      </c>
      <c r="I306" s="172">
        <v>150</v>
      </c>
      <c r="J306" s="628">
        <v>0</v>
      </c>
      <c r="K306" s="628">
        <v>0</v>
      </c>
      <c r="L306" s="8"/>
      <c r="M306" s="1"/>
      <c r="N306" s="1"/>
      <c r="O306" s="1"/>
      <c r="P306" s="1"/>
      <c r="Q306" s="1"/>
    </row>
    <row r="307" spans="1:17">
      <c r="A307" s="5">
        <v>970</v>
      </c>
      <c r="B307" s="24" t="s">
        <v>460</v>
      </c>
      <c r="C307" s="628">
        <v>1480</v>
      </c>
      <c r="D307" s="663"/>
      <c r="E307" s="625">
        <v>104</v>
      </c>
      <c r="F307" s="625">
        <v>0</v>
      </c>
      <c r="G307" s="626">
        <f t="shared" si="34"/>
        <v>0</v>
      </c>
      <c r="H307" s="629">
        <v>1584</v>
      </c>
      <c r="I307" s="172">
        <v>0</v>
      </c>
      <c r="J307" s="628">
        <v>0</v>
      </c>
      <c r="K307" s="628">
        <v>0</v>
      </c>
      <c r="L307" s="8"/>
      <c r="M307" s="1"/>
      <c r="N307" s="1"/>
      <c r="O307" s="1"/>
      <c r="P307" s="1"/>
      <c r="Q307" s="1"/>
    </row>
    <row r="308" spans="1:17">
      <c r="A308" s="5">
        <v>971</v>
      </c>
      <c r="B308" s="24" t="s">
        <v>338</v>
      </c>
      <c r="C308" s="628">
        <v>1400</v>
      </c>
      <c r="D308" s="663"/>
      <c r="E308" s="625">
        <v>114</v>
      </c>
      <c r="F308" s="625">
        <v>310.7</v>
      </c>
      <c r="G308" s="630">
        <f t="shared" ref="G308:G310" si="35">F308*1.25</f>
        <v>388.375</v>
      </c>
      <c r="H308" s="629">
        <v>1747</v>
      </c>
      <c r="I308" s="172">
        <v>150</v>
      </c>
      <c r="J308" s="628">
        <v>0</v>
      </c>
      <c r="K308" s="628">
        <v>0</v>
      </c>
      <c r="L308" s="8"/>
      <c r="M308" s="1"/>
      <c r="N308" s="1"/>
      <c r="O308" s="1"/>
      <c r="P308" s="1"/>
      <c r="Q308" s="1"/>
    </row>
    <row r="309" spans="1:17">
      <c r="A309" s="5">
        <v>972</v>
      </c>
      <c r="B309" s="24" t="s">
        <v>461</v>
      </c>
      <c r="C309" s="628">
        <v>1692</v>
      </c>
      <c r="D309" s="663"/>
      <c r="E309" s="625">
        <v>76</v>
      </c>
      <c r="F309" s="625">
        <v>362.7</v>
      </c>
      <c r="G309" s="630">
        <f t="shared" si="35"/>
        <v>453.375</v>
      </c>
      <c r="H309" s="629">
        <v>2040</v>
      </c>
      <c r="I309" s="172">
        <v>17</v>
      </c>
      <c r="J309" s="628">
        <v>0</v>
      </c>
      <c r="K309" s="628">
        <v>0</v>
      </c>
      <c r="L309" s="8"/>
      <c r="M309" s="1"/>
      <c r="N309" s="1"/>
      <c r="O309" s="1"/>
      <c r="P309" s="1"/>
      <c r="Q309" s="1"/>
    </row>
    <row r="310" spans="1:17">
      <c r="A310" s="5">
        <v>973</v>
      </c>
      <c r="B310" s="24" t="s">
        <v>462</v>
      </c>
      <c r="C310" s="628">
        <v>1592</v>
      </c>
      <c r="D310" s="663"/>
      <c r="E310" s="625">
        <v>89</v>
      </c>
      <c r="F310" s="625">
        <v>310.7</v>
      </c>
      <c r="G310" s="630">
        <f t="shared" si="35"/>
        <v>388.375</v>
      </c>
      <c r="H310" s="629">
        <v>1914</v>
      </c>
      <c r="I310" s="172">
        <v>17</v>
      </c>
      <c r="J310" s="628">
        <v>0</v>
      </c>
      <c r="K310" s="628">
        <v>0</v>
      </c>
      <c r="L310" s="8"/>
      <c r="M310" s="1"/>
      <c r="N310" s="1"/>
      <c r="O310" s="1"/>
      <c r="P310" s="1"/>
      <c r="Q310" s="1"/>
    </row>
    <row r="311" spans="1:17">
      <c r="A311" s="5">
        <v>974</v>
      </c>
      <c r="B311" s="24" t="s">
        <v>463</v>
      </c>
      <c r="C311" s="628">
        <v>1500</v>
      </c>
      <c r="D311" s="663"/>
      <c r="E311" s="625">
        <v>101</v>
      </c>
      <c r="F311" s="625">
        <v>0</v>
      </c>
      <c r="G311" s="626">
        <f t="shared" ref="G311:G314" si="36">F311</f>
        <v>0</v>
      </c>
      <c r="H311" s="629">
        <v>1601</v>
      </c>
      <c r="I311" s="172">
        <v>150</v>
      </c>
      <c r="J311" s="628">
        <v>0</v>
      </c>
      <c r="K311" s="628">
        <v>0</v>
      </c>
      <c r="L311" s="8"/>
      <c r="M311" s="1"/>
      <c r="N311" s="1"/>
      <c r="O311" s="1"/>
      <c r="P311" s="1"/>
      <c r="Q311" s="1"/>
    </row>
    <row r="312" spans="1:17">
      <c r="A312" s="5">
        <v>975</v>
      </c>
      <c r="B312" s="24" t="s">
        <v>464</v>
      </c>
      <c r="C312" s="628">
        <v>971</v>
      </c>
      <c r="D312" s="663"/>
      <c r="E312" s="625">
        <v>414.7</v>
      </c>
      <c r="F312" s="625">
        <v>0</v>
      </c>
      <c r="G312" s="626">
        <f t="shared" si="36"/>
        <v>0</v>
      </c>
      <c r="H312" s="629">
        <v>1298</v>
      </c>
      <c r="I312" s="172">
        <v>0</v>
      </c>
      <c r="J312" s="628">
        <v>0</v>
      </c>
      <c r="K312" s="628">
        <v>0</v>
      </c>
      <c r="L312" s="8"/>
      <c r="M312" s="1"/>
      <c r="N312" s="1"/>
      <c r="O312" s="1"/>
      <c r="P312" s="1"/>
      <c r="Q312" s="1"/>
    </row>
    <row r="313" spans="1:17">
      <c r="A313" s="5">
        <v>976</v>
      </c>
      <c r="B313" s="24" t="s">
        <v>465</v>
      </c>
      <c r="C313" s="628">
        <v>971</v>
      </c>
      <c r="D313" s="663"/>
      <c r="E313" s="625">
        <v>414.7</v>
      </c>
      <c r="F313" s="625">
        <v>0</v>
      </c>
      <c r="G313" s="626">
        <f t="shared" si="36"/>
        <v>0</v>
      </c>
      <c r="H313" s="629">
        <v>1298</v>
      </c>
      <c r="I313" s="172">
        <v>0</v>
      </c>
      <c r="J313" s="628">
        <v>0</v>
      </c>
      <c r="K313" s="628">
        <v>0</v>
      </c>
      <c r="L313" s="8"/>
      <c r="M313" s="1"/>
      <c r="N313" s="1"/>
      <c r="O313" s="1"/>
      <c r="P313" s="1"/>
      <c r="Q313" s="1"/>
    </row>
    <row r="314" spans="1:17">
      <c r="A314" s="5">
        <v>977</v>
      </c>
      <c r="B314" s="24" t="s">
        <v>466</v>
      </c>
      <c r="C314" s="628">
        <v>971</v>
      </c>
      <c r="D314" s="663"/>
      <c r="E314" s="625">
        <v>414.7</v>
      </c>
      <c r="F314" s="625">
        <v>0</v>
      </c>
      <c r="G314" s="626">
        <f t="shared" si="36"/>
        <v>0</v>
      </c>
      <c r="H314" s="629">
        <v>1298</v>
      </c>
      <c r="I314" s="172">
        <v>0</v>
      </c>
      <c r="J314" s="628">
        <v>0</v>
      </c>
      <c r="K314" s="628">
        <v>0</v>
      </c>
      <c r="L314" s="8"/>
      <c r="M314" s="1"/>
      <c r="N314" s="1"/>
      <c r="O314" s="1"/>
      <c r="P314" s="1"/>
      <c r="Q314" s="1"/>
    </row>
    <row r="315" spans="1:17">
      <c r="A315" s="5">
        <v>978</v>
      </c>
      <c r="B315" s="24" t="s">
        <v>467</v>
      </c>
      <c r="C315" s="628">
        <v>1840</v>
      </c>
      <c r="D315" s="663"/>
      <c r="E315" s="625">
        <v>57</v>
      </c>
      <c r="F315" s="625">
        <v>517.29999999999995</v>
      </c>
      <c r="G315" s="630">
        <f t="shared" ref="G315:G319" si="37">F315*1.25</f>
        <v>646.625</v>
      </c>
      <c r="H315" s="629">
        <v>2285</v>
      </c>
      <c r="I315" s="172">
        <v>0</v>
      </c>
      <c r="J315" s="628">
        <v>0</v>
      </c>
      <c r="K315" s="628">
        <v>0</v>
      </c>
      <c r="L315" s="8"/>
      <c r="M315" s="1"/>
      <c r="N315" s="1"/>
      <c r="O315" s="1"/>
      <c r="P315" s="1"/>
      <c r="Q315" s="1"/>
    </row>
    <row r="316" spans="1:17">
      <c r="A316" s="5">
        <v>979</v>
      </c>
      <c r="B316" s="24" t="s">
        <v>468</v>
      </c>
      <c r="C316" s="628">
        <v>1400</v>
      </c>
      <c r="D316" s="663"/>
      <c r="E316" s="625">
        <v>70</v>
      </c>
      <c r="F316" s="625">
        <v>310.7</v>
      </c>
      <c r="G316" s="630">
        <f t="shared" si="37"/>
        <v>388.375</v>
      </c>
      <c r="H316" s="629">
        <v>1703</v>
      </c>
      <c r="I316" s="172">
        <v>0</v>
      </c>
      <c r="J316" s="628">
        <v>0</v>
      </c>
      <c r="K316" s="628">
        <v>0</v>
      </c>
      <c r="L316" s="8"/>
      <c r="M316" s="1"/>
      <c r="N316" s="1"/>
      <c r="O316" s="1"/>
      <c r="P316" s="1"/>
      <c r="Q316" s="1"/>
    </row>
    <row r="317" spans="1:17">
      <c r="A317" s="5">
        <v>980</v>
      </c>
      <c r="B317" s="24" t="s">
        <v>469</v>
      </c>
      <c r="C317" s="628">
        <v>1300</v>
      </c>
      <c r="D317" s="663"/>
      <c r="E317" s="625">
        <v>127</v>
      </c>
      <c r="F317" s="625">
        <v>310.7</v>
      </c>
      <c r="G317" s="630">
        <f t="shared" si="37"/>
        <v>388.375</v>
      </c>
      <c r="H317" s="629">
        <v>1660</v>
      </c>
      <c r="I317" s="172">
        <v>0</v>
      </c>
      <c r="J317" s="628">
        <v>0</v>
      </c>
      <c r="K317" s="628">
        <v>0</v>
      </c>
      <c r="L317" s="8"/>
      <c r="M317" s="1"/>
      <c r="N317" s="1"/>
      <c r="O317" s="1"/>
      <c r="P317" s="1"/>
      <c r="Q317" s="1"/>
    </row>
    <row r="318" spans="1:17">
      <c r="A318" s="5">
        <v>981</v>
      </c>
      <c r="B318" s="24" t="s">
        <v>470</v>
      </c>
      <c r="C318" s="628">
        <v>1250</v>
      </c>
      <c r="D318" s="663"/>
      <c r="E318" s="625">
        <v>134</v>
      </c>
      <c r="F318" s="625">
        <v>310.7</v>
      </c>
      <c r="G318" s="630">
        <f t="shared" si="37"/>
        <v>388.375</v>
      </c>
      <c r="H318" s="629">
        <v>1617</v>
      </c>
      <c r="I318" s="172">
        <v>0</v>
      </c>
      <c r="J318" s="628">
        <v>0</v>
      </c>
      <c r="K318" s="628">
        <v>0</v>
      </c>
      <c r="L318" s="8"/>
      <c r="M318" s="1"/>
      <c r="N318" s="1"/>
      <c r="O318" s="1"/>
      <c r="P318" s="1"/>
      <c r="Q318" s="1"/>
    </row>
    <row r="319" spans="1:17">
      <c r="A319" s="5">
        <v>982</v>
      </c>
      <c r="B319" s="24" t="s">
        <v>471</v>
      </c>
      <c r="C319" s="628">
        <v>1740</v>
      </c>
      <c r="D319" s="663"/>
      <c r="E319" s="625">
        <v>70</v>
      </c>
      <c r="F319" s="625">
        <v>413.3</v>
      </c>
      <c r="G319" s="630">
        <f t="shared" si="37"/>
        <v>516.625</v>
      </c>
      <c r="H319" s="629">
        <v>2120</v>
      </c>
      <c r="I319" s="172">
        <v>0</v>
      </c>
      <c r="J319" s="628">
        <v>0</v>
      </c>
      <c r="K319" s="628">
        <v>0</v>
      </c>
      <c r="L319" s="8"/>
      <c r="M319" s="1"/>
      <c r="N319" s="1"/>
      <c r="O319" s="1"/>
      <c r="P319" s="1"/>
      <c r="Q319" s="1"/>
    </row>
    <row r="320" spans="1:17">
      <c r="A320" s="5">
        <v>983</v>
      </c>
      <c r="B320" s="24" t="s">
        <v>472</v>
      </c>
      <c r="C320" s="628">
        <v>1170</v>
      </c>
      <c r="D320" s="663"/>
      <c r="E320" s="625">
        <v>144</v>
      </c>
      <c r="F320" s="625">
        <v>0</v>
      </c>
      <c r="G320" s="626">
        <f t="shared" ref="G320:G328" si="38">F320</f>
        <v>0</v>
      </c>
      <c r="H320" s="629">
        <v>1314</v>
      </c>
      <c r="I320" s="172">
        <v>0</v>
      </c>
      <c r="J320" s="628">
        <v>0</v>
      </c>
      <c r="K320" s="628">
        <v>0</v>
      </c>
      <c r="L320" s="8"/>
      <c r="M320" s="1"/>
      <c r="N320" s="1"/>
      <c r="O320" s="1"/>
      <c r="P320" s="1"/>
      <c r="Q320" s="1"/>
    </row>
    <row r="321" spans="1:17">
      <c r="A321" s="5">
        <v>984</v>
      </c>
      <c r="B321" s="24" t="s">
        <v>473</v>
      </c>
      <c r="C321" s="628">
        <v>690</v>
      </c>
      <c r="D321" s="663"/>
      <c r="E321" s="625">
        <v>414.7</v>
      </c>
      <c r="F321" s="625">
        <v>0</v>
      </c>
      <c r="G321" s="626">
        <f t="shared" si="38"/>
        <v>0</v>
      </c>
      <c r="H321" s="629">
        <v>1017</v>
      </c>
      <c r="I321" s="172">
        <v>0</v>
      </c>
      <c r="J321" s="628">
        <v>0</v>
      </c>
      <c r="K321" s="628">
        <v>0</v>
      </c>
      <c r="L321" s="8"/>
      <c r="M321" s="1"/>
      <c r="N321" s="1"/>
      <c r="O321" s="1"/>
      <c r="P321" s="1"/>
      <c r="Q321" s="1"/>
    </row>
    <row r="322" spans="1:17">
      <c r="A322" s="5">
        <v>985</v>
      </c>
      <c r="B322" s="24" t="s">
        <v>474</v>
      </c>
      <c r="C322" s="628">
        <v>2913</v>
      </c>
      <c r="D322" s="663"/>
      <c r="E322" s="625">
        <v>0</v>
      </c>
      <c r="F322" s="625">
        <v>0</v>
      </c>
      <c r="G322" s="626">
        <f t="shared" si="38"/>
        <v>0</v>
      </c>
      <c r="H322" s="629">
        <v>2913</v>
      </c>
      <c r="I322" s="172">
        <v>0</v>
      </c>
      <c r="J322" s="628">
        <v>0</v>
      </c>
      <c r="K322" s="628">
        <v>0</v>
      </c>
      <c r="L322" s="8"/>
      <c r="M322" s="1"/>
      <c r="N322" s="1"/>
      <c r="O322" s="1"/>
      <c r="P322" s="1"/>
      <c r="Q322" s="1"/>
    </row>
    <row r="323" spans="1:17">
      <c r="A323" s="5">
        <v>986</v>
      </c>
      <c r="B323" s="24" t="s">
        <v>475</v>
      </c>
      <c r="C323" s="628">
        <v>644</v>
      </c>
      <c r="D323" s="663"/>
      <c r="E323" s="625">
        <v>414.7</v>
      </c>
      <c r="F323" s="625">
        <v>0</v>
      </c>
      <c r="G323" s="626">
        <f t="shared" si="38"/>
        <v>0</v>
      </c>
      <c r="H323" s="629">
        <v>971</v>
      </c>
      <c r="I323" s="172">
        <v>0</v>
      </c>
      <c r="J323" s="628">
        <v>0</v>
      </c>
      <c r="K323" s="628">
        <v>0</v>
      </c>
      <c r="L323" s="8"/>
      <c r="M323" s="1"/>
      <c r="N323" s="1"/>
      <c r="O323" s="1"/>
      <c r="P323" s="1"/>
      <c r="Q323" s="1"/>
    </row>
    <row r="324" spans="1:17">
      <c r="A324" s="5">
        <v>987</v>
      </c>
      <c r="B324" s="24" t="s">
        <v>303</v>
      </c>
      <c r="C324" s="628">
        <v>1170</v>
      </c>
      <c r="D324" s="663"/>
      <c r="E324" s="625">
        <v>144</v>
      </c>
      <c r="F324" s="625">
        <v>0</v>
      </c>
      <c r="G324" s="626">
        <f t="shared" si="38"/>
        <v>0</v>
      </c>
      <c r="H324" s="629">
        <v>1314</v>
      </c>
      <c r="I324" s="172">
        <v>0</v>
      </c>
      <c r="J324" s="628">
        <v>0</v>
      </c>
      <c r="K324" s="628">
        <v>0</v>
      </c>
      <c r="L324" s="8"/>
      <c r="M324" s="1"/>
      <c r="N324" s="1"/>
      <c r="O324" s="1"/>
      <c r="P324" s="1"/>
      <c r="Q324" s="1"/>
    </row>
    <row r="325" spans="1:17">
      <c r="A325" s="5">
        <v>988</v>
      </c>
      <c r="B325" s="24" t="s">
        <v>476</v>
      </c>
      <c r="C325" s="628">
        <v>2600</v>
      </c>
      <c r="D325" s="663"/>
      <c r="E325" s="625">
        <v>0</v>
      </c>
      <c r="F325" s="625">
        <v>0</v>
      </c>
      <c r="G325" s="626">
        <f t="shared" si="38"/>
        <v>0</v>
      </c>
      <c r="H325" s="629">
        <v>2600</v>
      </c>
      <c r="I325" s="172">
        <v>0</v>
      </c>
      <c r="J325" s="628">
        <v>0</v>
      </c>
      <c r="K325" s="628">
        <v>0</v>
      </c>
      <c r="L325" s="8"/>
      <c r="M325" s="1"/>
      <c r="N325" s="1"/>
      <c r="O325" s="1"/>
      <c r="P325" s="1"/>
      <c r="Q325" s="1"/>
    </row>
    <row r="326" spans="1:17">
      <c r="A326" s="5">
        <v>989</v>
      </c>
      <c r="B326" s="24" t="s">
        <v>477</v>
      </c>
      <c r="C326" s="628">
        <v>2840</v>
      </c>
      <c r="D326" s="663"/>
      <c r="E326" s="625">
        <v>0</v>
      </c>
      <c r="F326" s="625">
        <v>0</v>
      </c>
      <c r="G326" s="626">
        <f t="shared" si="38"/>
        <v>0</v>
      </c>
      <c r="H326" s="629">
        <v>2840</v>
      </c>
      <c r="I326" s="172">
        <v>0</v>
      </c>
      <c r="J326" s="628">
        <v>0</v>
      </c>
      <c r="K326" s="628">
        <v>0</v>
      </c>
      <c r="L326" s="8"/>
      <c r="M326" s="1"/>
      <c r="N326" s="1"/>
      <c r="O326" s="1"/>
      <c r="P326" s="1"/>
      <c r="Q326" s="1"/>
    </row>
    <row r="327" spans="1:17">
      <c r="A327" s="5">
        <v>990</v>
      </c>
      <c r="B327" s="24" t="s">
        <v>478</v>
      </c>
      <c r="C327" s="628">
        <v>2100</v>
      </c>
      <c r="D327" s="663"/>
      <c r="E327" s="625">
        <v>23</v>
      </c>
      <c r="F327" s="625">
        <v>0</v>
      </c>
      <c r="G327" s="626">
        <f t="shared" si="38"/>
        <v>0</v>
      </c>
      <c r="H327" s="629">
        <v>2123</v>
      </c>
      <c r="I327" s="172">
        <v>0</v>
      </c>
      <c r="J327" s="628">
        <v>0</v>
      </c>
      <c r="K327" s="628">
        <v>0</v>
      </c>
      <c r="L327" s="8"/>
      <c r="M327" s="1"/>
      <c r="N327" s="1"/>
      <c r="O327" s="1"/>
      <c r="P327" s="1"/>
      <c r="Q327" s="1"/>
    </row>
    <row r="328" spans="1:17">
      <c r="A328" s="5">
        <v>991</v>
      </c>
      <c r="B328" s="24" t="s">
        <v>479</v>
      </c>
      <c r="C328" s="628">
        <v>1850</v>
      </c>
      <c r="D328" s="663"/>
      <c r="E328" s="625">
        <v>55</v>
      </c>
      <c r="F328" s="625">
        <v>0</v>
      </c>
      <c r="G328" s="626">
        <f t="shared" si="38"/>
        <v>0</v>
      </c>
      <c r="H328" s="629">
        <v>1905</v>
      </c>
      <c r="I328" s="172">
        <v>0</v>
      </c>
      <c r="J328" s="628">
        <v>0</v>
      </c>
      <c r="K328" s="628">
        <v>0</v>
      </c>
      <c r="L328" s="8"/>
      <c r="M328" s="1"/>
      <c r="N328" s="1"/>
      <c r="O328" s="1"/>
      <c r="P328" s="1"/>
      <c r="Q328" s="1"/>
    </row>
    <row r="329" spans="1:17">
      <c r="A329" s="5">
        <v>992</v>
      </c>
      <c r="B329" s="24" t="s">
        <v>480</v>
      </c>
      <c r="C329" s="628">
        <v>1500</v>
      </c>
      <c r="D329" s="663"/>
      <c r="E329" s="625">
        <v>0</v>
      </c>
      <c r="F329" s="625">
        <v>310.7</v>
      </c>
      <c r="G329" s="630">
        <f t="shared" ref="G329" si="39">F329*1.25</f>
        <v>388.375</v>
      </c>
      <c r="H329" s="629">
        <v>1733</v>
      </c>
      <c r="I329" s="172">
        <v>0</v>
      </c>
      <c r="J329" s="628">
        <v>0</v>
      </c>
      <c r="K329" s="628">
        <v>0</v>
      </c>
      <c r="L329" s="8"/>
      <c r="M329" s="1"/>
      <c r="N329" s="1"/>
      <c r="O329" s="1"/>
      <c r="P329" s="1"/>
      <c r="Q329" s="1"/>
    </row>
    <row r="330" spans="1:17">
      <c r="A330" s="5">
        <v>993</v>
      </c>
      <c r="B330" s="24" t="s">
        <v>481</v>
      </c>
      <c r="C330" s="628">
        <v>2913</v>
      </c>
      <c r="D330" s="663"/>
      <c r="E330" s="625">
        <v>0</v>
      </c>
      <c r="F330" s="625">
        <v>0</v>
      </c>
      <c r="G330" s="626">
        <f>F330</f>
        <v>0</v>
      </c>
      <c r="H330" s="629">
        <v>2913</v>
      </c>
      <c r="I330" s="172">
        <v>0</v>
      </c>
      <c r="J330" s="628">
        <v>0</v>
      </c>
      <c r="K330" s="628">
        <v>0</v>
      </c>
      <c r="L330" s="8"/>
      <c r="M330" s="1"/>
      <c r="N330" s="1"/>
      <c r="O330" s="1"/>
      <c r="P330" s="1"/>
      <c r="Q330" s="1"/>
    </row>
    <row r="331" spans="1:17">
      <c r="A331" s="5">
        <v>994</v>
      </c>
      <c r="B331" s="24" t="s">
        <v>482</v>
      </c>
      <c r="C331" s="628">
        <v>1580</v>
      </c>
      <c r="D331" s="663"/>
      <c r="E331" s="625">
        <v>90</v>
      </c>
      <c r="F331" s="625">
        <v>347.6</v>
      </c>
      <c r="G331" s="626">
        <f t="shared" ref="G331:G335" si="40">F331</f>
        <v>347.6</v>
      </c>
      <c r="H331" s="629">
        <v>2017.6</v>
      </c>
      <c r="I331" s="172">
        <v>0</v>
      </c>
      <c r="J331" s="628">
        <v>0</v>
      </c>
      <c r="K331" s="628">
        <v>0</v>
      </c>
      <c r="L331" s="8"/>
      <c r="M331" s="1"/>
      <c r="N331" s="1"/>
      <c r="O331" s="1"/>
      <c r="P331" s="1"/>
      <c r="Q331" s="1"/>
    </row>
    <row r="332" spans="1:17">
      <c r="A332" s="5">
        <v>995</v>
      </c>
      <c r="B332" s="24" t="s">
        <v>483</v>
      </c>
      <c r="C332" s="628">
        <v>1564</v>
      </c>
      <c r="D332" s="663"/>
      <c r="E332" s="625">
        <v>93</v>
      </c>
      <c r="F332" s="625">
        <v>0</v>
      </c>
      <c r="G332" s="626">
        <f t="shared" si="40"/>
        <v>0</v>
      </c>
      <c r="H332" s="629">
        <v>1657</v>
      </c>
      <c r="I332" s="172">
        <v>0</v>
      </c>
      <c r="J332" s="628">
        <v>0</v>
      </c>
      <c r="K332" s="628">
        <v>0</v>
      </c>
      <c r="L332" s="8"/>
      <c r="M332" s="1"/>
      <c r="N332" s="1"/>
      <c r="O332" s="1"/>
      <c r="P332" s="1"/>
      <c r="Q332" s="1"/>
    </row>
    <row r="333" spans="1:17">
      <c r="A333" s="5">
        <v>996</v>
      </c>
      <c r="B333" s="24" t="s">
        <v>204</v>
      </c>
      <c r="C333" s="628">
        <v>1480</v>
      </c>
      <c r="D333" s="663"/>
      <c r="E333" s="625">
        <v>104</v>
      </c>
      <c r="F333" s="625">
        <v>0</v>
      </c>
      <c r="G333" s="626">
        <f t="shared" si="40"/>
        <v>0</v>
      </c>
      <c r="H333" s="629">
        <v>1584</v>
      </c>
      <c r="I333" s="172">
        <v>0</v>
      </c>
      <c r="J333" s="628">
        <v>0</v>
      </c>
      <c r="K333" s="628">
        <v>0</v>
      </c>
      <c r="L333" s="8"/>
      <c r="M333" s="1"/>
      <c r="N333" s="1"/>
      <c r="O333" s="1"/>
      <c r="P333" s="1"/>
      <c r="Q333" s="1"/>
    </row>
    <row r="334" spans="1:17">
      <c r="A334" s="5">
        <v>997</v>
      </c>
      <c r="B334" s="24" t="s">
        <v>484</v>
      </c>
      <c r="C334" s="628">
        <v>1564</v>
      </c>
      <c r="D334" s="663"/>
      <c r="E334" s="625">
        <v>93</v>
      </c>
      <c r="F334" s="625">
        <v>0</v>
      </c>
      <c r="G334" s="626">
        <f t="shared" si="40"/>
        <v>0</v>
      </c>
      <c r="H334" s="629">
        <v>1657</v>
      </c>
      <c r="I334" s="172">
        <v>0</v>
      </c>
      <c r="J334" s="628">
        <v>0</v>
      </c>
      <c r="K334" s="628">
        <v>0</v>
      </c>
      <c r="L334" s="8"/>
      <c r="M334" s="1"/>
      <c r="N334" s="1"/>
      <c r="O334" s="1"/>
      <c r="P334" s="1"/>
      <c r="Q334" s="1"/>
    </row>
    <row r="335" spans="1:17">
      <c r="A335" s="5">
        <v>998</v>
      </c>
      <c r="B335" s="24" t="s">
        <v>485</v>
      </c>
      <c r="C335" s="628">
        <v>2220</v>
      </c>
      <c r="D335" s="663"/>
      <c r="E335" s="625">
        <v>7</v>
      </c>
      <c r="F335" s="625">
        <v>0</v>
      </c>
      <c r="G335" s="626">
        <f t="shared" si="40"/>
        <v>0</v>
      </c>
      <c r="H335" s="629">
        <v>2227</v>
      </c>
      <c r="I335" s="172">
        <v>0</v>
      </c>
      <c r="J335" s="628">
        <v>0</v>
      </c>
      <c r="K335" s="628">
        <v>0</v>
      </c>
      <c r="L335" s="8"/>
      <c r="M335" s="1"/>
      <c r="N335" s="1"/>
      <c r="O335" s="1"/>
      <c r="P335" s="1"/>
      <c r="Q335" s="1"/>
    </row>
    <row r="336" spans="1:17">
      <c r="A336" s="5">
        <v>999</v>
      </c>
      <c r="B336" s="24" t="s">
        <v>486</v>
      </c>
      <c r="C336" s="628">
        <v>1250</v>
      </c>
      <c r="D336" s="663"/>
      <c r="E336" s="625">
        <v>134</v>
      </c>
      <c r="F336" s="625">
        <v>310.7</v>
      </c>
      <c r="G336" s="630">
        <f t="shared" ref="G336" si="41">F336*1.25</f>
        <v>388.375</v>
      </c>
      <c r="H336" s="629">
        <v>1617</v>
      </c>
      <c r="I336" s="172">
        <v>0</v>
      </c>
      <c r="J336" s="628">
        <v>0</v>
      </c>
      <c r="K336" s="628">
        <v>0</v>
      </c>
      <c r="L336" s="8"/>
      <c r="M336" s="1"/>
      <c r="N336" s="1"/>
      <c r="O336" s="1"/>
      <c r="P336" s="1"/>
      <c r="Q336" s="1"/>
    </row>
    <row r="337" spans="1:17">
      <c r="A337" s="1"/>
      <c r="B337" s="1"/>
      <c r="C337" s="1"/>
      <c r="D337" s="4"/>
      <c r="E337" s="12"/>
      <c r="F337" s="12"/>
      <c r="G337" s="12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>
      <c r="A338" s="1"/>
      <c r="B338" s="1"/>
      <c r="C338" s="1"/>
      <c r="D338" s="4"/>
      <c r="E338" s="12"/>
      <c r="F338" s="12"/>
      <c r="G338" s="12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>
      <c r="A339" s="1"/>
      <c r="B339" s="1"/>
      <c r="C339" s="1"/>
      <c r="D339" s="4"/>
      <c r="E339" s="12"/>
      <c r="F339" s="12"/>
      <c r="G339" s="12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>
      <c r="A340" s="1"/>
      <c r="B340" s="1"/>
      <c r="C340" s="1"/>
      <c r="D340" s="4"/>
      <c r="E340" s="12"/>
      <c r="F340" s="12"/>
      <c r="G340" s="12"/>
      <c r="H340" s="1"/>
      <c r="I340" s="1"/>
      <c r="J340" s="1"/>
      <c r="K340" s="1"/>
      <c r="L340" s="1"/>
      <c r="M340" s="1"/>
      <c r="N340" s="1"/>
      <c r="O340" s="1"/>
      <c r="P340" s="1"/>
      <c r="Q340" s="1"/>
    </row>
  </sheetData>
  <sheetProtection password="DFB3" sheet="1" objects="1" scenarios="1" selectLockedCells="1"/>
  <hyperlinks>
    <hyperlink ref="B1" r:id="rId1" location="'recibo de sueldo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83</vt:i4>
      </vt:variant>
    </vt:vector>
  </HeadingPairs>
  <TitlesOfParts>
    <vt:vector size="85" baseType="lpstr">
      <vt:lpstr>Recibo</vt:lpstr>
      <vt:lpstr>cargos</vt:lpstr>
      <vt:lpstr>adicdir2016</vt:lpstr>
      <vt:lpstr>adicdir2022</vt:lpstr>
      <vt:lpstr>adichsmedia</vt:lpstr>
      <vt:lpstr>adicnina</vt:lpstr>
      <vt:lpstr>Aumento1</vt:lpstr>
      <vt:lpstr>Aumento2</vt:lpstr>
      <vt:lpstr>Aumento3</vt:lpstr>
      <vt:lpstr>Aumento4</vt:lpstr>
      <vt:lpstr>Aumento5</vt:lpstr>
      <vt:lpstr>aumento6</vt:lpstr>
      <vt:lpstr>Aumento7</vt:lpstr>
      <vt:lpstr>Aumento8</vt:lpstr>
      <vt:lpstr>canthor06med</vt:lpstr>
      <vt:lpstr>canthor06sup</vt:lpstr>
      <vt:lpstr>canthorincmed</vt:lpstr>
      <vt:lpstr>canthorincsup</vt:lpstr>
      <vt:lpstr>canthormed</vt:lpstr>
      <vt:lpstr>canthorsup</vt:lpstr>
      <vt:lpstr>cantkm</vt:lpstr>
      <vt:lpstr>cantkmhm</vt:lpstr>
      <vt:lpstr>cantkmhs</vt:lpstr>
      <vt:lpstr>codigo06cargosdic22</vt:lpstr>
      <vt:lpstr>codigo06cargosene20</vt:lpstr>
      <vt:lpstr>codigo06cargossep22</vt:lpstr>
      <vt:lpstr>compbas16</vt:lpstr>
      <vt:lpstr>compbas2016</vt:lpstr>
      <vt:lpstr>compdir16</vt:lpstr>
      <vt:lpstr>compdir22</vt:lpstr>
      <vt:lpstr>escalaañosantig</vt:lpstr>
      <vt:lpstr>escalaporcantig</vt:lpstr>
      <vt:lpstr>exten</vt:lpstr>
      <vt:lpstr>indicedic21</vt:lpstr>
      <vt:lpstr>indiceene22</vt:lpstr>
      <vt:lpstr>indiceene23</vt:lpstr>
      <vt:lpstr>indicenov22</vt:lpstr>
      <vt:lpstr>indiceoct22</vt:lpstr>
      <vt:lpstr>indiceproljordic21</vt:lpstr>
      <vt:lpstr>indiceproljorene22</vt:lpstr>
      <vt:lpstr>Indiceproljorene23</vt:lpstr>
      <vt:lpstr>Indiceproljornov22</vt:lpstr>
      <vt:lpstr>Indiceproljoroct22</vt:lpstr>
      <vt:lpstr>Indiceproljorsep22</vt:lpstr>
      <vt:lpstr>indicesep22</vt:lpstr>
      <vt:lpstr>kmsem</vt:lpstr>
      <vt:lpstr>kmsemhsmed</vt:lpstr>
      <vt:lpstr>kmsemhssup</vt:lpstr>
      <vt:lpstr>nina</vt:lpstr>
      <vt:lpstr>nombrecargo</vt:lpstr>
      <vt:lpstr>numcargo</vt:lpstr>
      <vt:lpstr>poragmer</vt:lpstr>
      <vt:lpstr>porant</vt:lpstr>
      <vt:lpstr>porantigcargo</vt:lpstr>
      <vt:lpstr>porantighormed</vt:lpstr>
      <vt:lpstr>porantighorsup</vt:lpstr>
      <vt:lpstr>porjub</vt:lpstr>
      <vt:lpstr>poros</vt:lpstr>
      <vt:lpstr>porzonacargo</vt:lpstr>
      <vt:lpstr>porzonahsmed</vt:lpstr>
      <vt:lpstr>punbascar</vt:lpstr>
      <vt:lpstr>punbascargo</vt:lpstr>
      <vt:lpstr>punbashormed</vt:lpstr>
      <vt:lpstr>punbashorsup</vt:lpstr>
      <vt:lpstr>punexten</vt:lpstr>
      <vt:lpstr>punjorcomcargo</vt:lpstr>
      <vt:lpstr>punproljorcargo</vt:lpstr>
      <vt:lpstr>puntardifcargo</vt:lpstr>
      <vt:lpstr>puntosadicnina</vt:lpstr>
      <vt:lpstr>PUNTOSbasicos</vt:lpstr>
      <vt:lpstr>puntosexten</vt:lpstr>
      <vt:lpstr>puntosproljor</vt:lpstr>
      <vt:lpstr>puntostardif</vt:lpstr>
      <vt:lpstr>totalremene22</vt:lpstr>
      <vt:lpstr>totalremocatavoaum22</vt:lpstr>
      <vt:lpstr>totalremocatavoaumFoniddic22</vt:lpstr>
      <vt:lpstr>totalremocatavoaumFonidene23</vt:lpstr>
      <vt:lpstr>totalremocatvoaum22</vt:lpstr>
      <vt:lpstr>totalremoctavoaum22</vt:lpstr>
      <vt:lpstr>totalremprimeraum22</vt:lpstr>
      <vt:lpstr>totalremquintoaum22</vt:lpstr>
      <vt:lpstr>totalremsegundoaum22</vt:lpstr>
      <vt:lpstr>totalremseptimoaum22</vt:lpstr>
      <vt:lpstr>totalremsextoaum22</vt:lpstr>
      <vt:lpstr>totalremterceraum22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2022-02-04T04:38:20Z</dcterms:created>
  <dcterms:modified xsi:type="dcterms:W3CDTF">2023-01-19T19:17:48Z</dcterms:modified>
</cp:coreProperties>
</file>